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sc\ZTC\CLIENTS\SUNOVION\"/>
    </mc:Choice>
  </mc:AlternateContent>
  <bookViews>
    <workbookView xWindow="0" yWindow="0" windowWidth="23040" windowHeight="10644"/>
  </bookViews>
  <sheets>
    <sheet name="Complaint Rate Analysis" sheetId="2" r:id="rId1"/>
    <sheet name="StatGraph" sheetId="3" state="hidden" r:id="rId2"/>
    <sheet name="Minitab18" sheetId="4" state="hidden" r:id="rId3"/>
  </sheets>
  <calcPr calcId="152511"/>
</workbook>
</file>

<file path=xl/calcChain.xml><?xml version="1.0" encoding="utf-8"?>
<calcChain xmlns="http://schemas.openxmlformats.org/spreadsheetml/2006/main">
  <c r="G6" i="2" l="1"/>
  <c r="I18" i="4" l="1"/>
  <c r="H18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L40" i="3"/>
  <c r="L32" i="3"/>
  <c r="L31" i="3"/>
  <c r="M40" i="3" l="1"/>
  <c r="M32" i="3"/>
  <c r="M3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B32" i="3"/>
  <c r="B33" i="3" s="1"/>
  <c r="B34" i="3" s="1"/>
  <c r="B35" i="3" s="1"/>
  <c r="B36" i="3" s="1"/>
  <c r="B37" i="3" s="1"/>
  <c r="B38" i="3" s="1"/>
  <c r="B39" i="3" s="1"/>
  <c r="B40" i="3" s="1"/>
  <c r="B25" i="3"/>
  <c r="B26" i="3" s="1"/>
  <c r="B27" i="3" s="1"/>
  <c r="B28" i="3" s="1"/>
  <c r="B29" i="3" s="1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B22" i="3"/>
  <c r="B23" i="3"/>
  <c r="B24" i="3" s="1"/>
  <c r="B21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3" i="3"/>
  <c r="J3" i="3"/>
  <c r="K4" i="3"/>
  <c r="J4" i="3"/>
  <c r="E15" i="2" l="1"/>
  <c r="G15" i="2"/>
  <c r="G17" i="3" l="1"/>
  <c r="G18" i="4"/>
  <c r="G4" i="2"/>
  <c r="I4" i="2" s="1"/>
  <c r="E12" i="2"/>
  <c r="C16" i="2"/>
  <c r="G12" i="2"/>
  <c r="F17" i="3" l="1"/>
  <c r="F18" i="4"/>
  <c r="G13" i="2"/>
  <c r="G16" i="2"/>
  <c r="C14" i="2" l="1"/>
</calcChain>
</file>

<file path=xl/sharedStrings.xml><?xml version="1.0" encoding="utf-8"?>
<sst xmlns="http://schemas.openxmlformats.org/spreadsheetml/2006/main" count="47" uniqueCount="34">
  <si>
    <t>CONFIDENCE INTERVAL METHOD</t>
  </si>
  <si>
    <t>Typically this is calculated as the average number of complaints received per average lot size produced over a time period that is relevant to the lot whose complaint rate is shown in the blue-outlined box above.</t>
  </si>
  <si>
    <t>p-VALUE METHOD</t>
  </si>
  <si>
    <r>
      <t xml:space="preserve">Desired % </t>
    </r>
    <r>
      <rPr>
        <b/>
        <sz val="10"/>
        <color indexed="12"/>
        <rFont val="Arial"/>
        <family val="2"/>
      </rPr>
      <t>CONFIDENCE</t>
    </r>
    <r>
      <rPr>
        <sz val="10"/>
        <rFont val="Arial"/>
        <family val="2"/>
      </rPr>
      <t xml:space="preserve">  =   
(This is equivalent to </t>
    </r>
    <r>
      <rPr>
        <b/>
        <sz val="10"/>
        <color indexed="12"/>
        <rFont val="Arial"/>
        <family val="2"/>
      </rPr>
      <t>100% – %Alpha</t>
    </r>
    <r>
      <rPr>
        <sz val="10"/>
        <rFont val="Arial"/>
        <family val="2"/>
      </rPr>
      <t>, 
where "Alpha" is the % significance level of the statistical test.)</t>
    </r>
  </si>
  <si>
    <t>Make valid entries into the white cells below; values in the other cells are then automatically calculated.</t>
  </si>
  <si>
    <t>Confidence</t>
  </si>
  <si>
    <t>Quantity of Product</t>
  </si>
  <si>
    <t>Number of Complaints</t>
  </si>
  <si>
    <t>Historical Complaint Rate</t>
  </si>
  <si>
    <t>Lower Conf. Limit</t>
  </si>
  <si>
    <t>p-Value</t>
  </si>
  <si>
    <t>Per Complaint Rate Analysis v.2.01</t>
  </si>
  <si>
    <t>Per StatGraphics Centurion XV</t>
  </si>
  <si>
    <t>for p</t>
  </si>
  <si>
    <t>Test</t>
  </si>
  <si>
    <t>Null hypothesis</t>
  </si>
  <si>
    <t>Alternative hypothesis</t>
  </si>
  <si>
    <t>P-Value</t>
  </si>
  <si>
    <t>Descriptive Statistics</t>
  </si>
  <si>
    <t>N</t>
  </si>
  <si>
    <t>Event</t>
  </si>
  <si>
    <t>Sample p</t>
  </si>
  <si>
    <t>Per Minitab 18</t>
  </si>
  <si>
    <t>99.9% Lower Bound</t>
  </si>
  <si>
    <t>H₀: p = 0.00009</t>
  </si>
  <si>
    <t>H₁: p &gt; 0.00009</t>
  </si>
  <si>
    <t>Ratio of v2.01 to M18</t>
  </si>
  <si>
    <t>INPUTS to both programs</t>
  </si>
  <si>
    <r>
      <rPr>
        <b/>
        <sz val="14"/>
        <rFont val="Arial"/>
        <family val="2"/>
      </rPr>
      <t xml:space="preserve">CAUTIONARY STATEMENT BY THE AUTHOR:
</t>
    </r>
    <r>
      <rPr>
        <sz val="12"/>
        <rFont val="Arial"/>
        <family val="2"/>
      </rPr>
      <t>The accuracy of this spreadsheet has been checked to be within less than +/– 0.001% of the value given by Minitab 18 
(a wide variety of combinations of inputs were used in that check --- see example table of inputs and outputs, below).</t>
    </r>
    <r>
      <rPr>
        <i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This spreadsheet is being provided free of charge, without warranty or formal validation of any kind.
</t>
    </r>
    <r>
      <rPr>
        <b/>
        <sz val="12"/>
        <rFont val="Arial"/>
        <family val="2"/>
      </rPr>
      <t>Before using this spreadsheet on actual complaint data, the user should formally validate it.</t>
    </r>
  </si>
  <si>
    <r>
      <t>NUMBER OF COMPLAINTS</t>
    </r>
    <r>
      <rPr>
        <sz val="10"/>
        <rFont val="Arial"/>
        <family val="2"/>
      </rPr>
      <t xml:space="preserve">
received for that lot  =  </t>
    </r>
  </si>
  <si>
    <r>
      <rPr>
        <b/>
        <sz val="10"/>
        <color indexed="12"/>
        <rFont val="Arial"/>
        <family val="2"/>
      </rPr>
      <t xml:space="preserve">QUANTITY OF PRODUCT </t>
    </r>
    <r>
      <rPr>
        <sz val="10"/>
        <color indexed="8"/>
        <rFont val="Arial"/>
        <family val="2"/>
      </rPr>
      <t>in the lot being analyzed  =  
(This could be a single lot, or a month's shipment, or ?)</t>
    </r>
  </si>
  <si>
    <r>
      <t xml:space="preserve">This is calculated using the Beta Distribution, as discussed in:
(1) </t>
    </r>
    <r>
      <rPr>
        <i/>
        <sz val="10"/>
        <rFont val="Arial"/>
        <family val="2"/>
      </rPr>
      <t>Handbook of Statistical Distributions with Applications</t>
    </r>
    <r>
      <rPr>
        <sz val="10"/>
        <rFont val="Arial"/>
        <family val="2"/>
      </rPr>
      <t xml:space="preserve">,
by K. Krishnamoorthy, 2006 by Chapman &amp; Hall (Boca Raton, FL, USA),
(2) </t>
    </r>
    <r>
      <rPr>
        <i/>
        <sz val="10"/>
        <rFont val="Arial"/>
        <family val="2"/>
      </rPr>
      <t>Reliability Statistics</t>
    </r>
    <r>
      <rPr>
        <sz val="10"/>
        <rFont val="Arial"/>
        <family val="2"/>
      </rPr>
      <t>, 1990 by ASQC Quality Press (Milwaukee, WI, USA)
(Beta Tables in Dovich's book are now known by ASQ to have many errors.)</t>
    </r>
  </si>
  <si>
    <r>
      <t>COMPLAINT RATE ANALYSIS</t>
    </r>
    <r>
      <rPr>
        <b/>
        <sz val="14"/>
        <rFont val="Arial"/>
        <family val="2"/>
      </rPr>
      <t xml:space="preserve">
THIS SPREADSHEET PROVIDES A METHOD FOR DETERMINING WHETHER A RECENT COMPLAINT RATE IS
STATISTICALLY SIGNIFICANTLY LARGER THAN THE HISTORICAL (LONG-TERM) COMPLAINT RATE.</t>
    </r>
    <r>
      <rPr>
        <sz val="12"/>
        <rFont val="Arial"/>
        <family val="2"/>
      </rPr>
      <t xml:space="preserve">
Version 2.01, Copyright 2018, by John Zorich (www.JohnZorich.com).  </t>
    </r>
    <r>
      <rPr>
        <b/>
        <sz val="12"/>
        <color rgb="FF0000FF"/>
        <rFont val="Arial"/>
        <family val="2"/>
      </rPr>
      <t>See "cautionary statement", below.</t>
    </r>
  </si>
  <si>
    <r>
      <t>HISTORICAL (long-term) COMPLAINT RATE</t>
    </r>
    <r>
      <rPr>
        <sz val="10"/>
        <rFont val="Arial"/>
        <family val="2"/>
      </rPr>
      <t xml:space="preserve">
for the type of product being analyzed 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</si>
</sst>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%"/>
    <numFmt numFmtId="165" formatCode="0.000000%"/>
    <numFmt numFmtId="166" formatCode="0.000000"/>
    <numFmt numFmtId="167" formatCode="0.0%"/>
    <numFmt numFmtId="168" formatCode="0.000"/>
    <numFmt numFmtId="169" formatCode="0.0000"/>
    <numFmt numFmtId="170" formatCode="0.00000"/>
    <numFmt numFmtId="171" formatCode="0.0000000"/>
    <numFmt numFmtId="172" formatCode="0.000000000"/>
    <numFmt numFmtId="173" formatCode="0.000%"/>
    <numFmt numFmtId="174" formatCode="0.0000000000"/>
    <numFmt numFmtId="175" formatCode="0.00000000%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20"/>
      <color indexed="12"/>
      <name val="Arial"/>
      <family val="2"/>
    </font>
    <font>
      <b/>
      <sz val="14"/>
      <color rgb="FF0000FF"/>
      <name val="Arial"/>
      <family val="2"/>
    </font>
    <font>
      <b/>
      <sz val="20"/>
      <name val="Arial"/>
      <family val="2"/>
    </font>
    <font>
      <b/>
      <sz val="12"/>
      <color rgb="FF0000FF"/>
      <name val="Arial"/>
      <family val="2"/>
    </font>
    <font>
      <sz val="10"/>
      <color theme="0"/>
      <name val="Arial"/>
      <family val="2"/>
    </font>
    <font>
      <sz val="10"/>
      <color theme="0"/>
      <name val="Segoe UI Semibold"/>
      <family val="2"/>
    </font>
    <font>
      <sz val="8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rgb="FF0000FF"/>
      </top>
      <bottom/>
      <diagonal/>
    </border>
    <border>
      <left style="medium">
        <color auto="1"/>
      </left>
      <right/>
      <top/>
      <bottom style="thick">
        <color rgb="FF0000FF"/>
      </bottom>
      <diagonal/>
    </border>
    <border>
      <left/>
      <right style="medium">
        <color auto="1"/>
      </right>
      <top/>
      <bottom style="thick">
        <color rgb="FF0000FF"/>
      </bottom>
      <diagonal/>
    </border>
    <border>
      <left/>
      <right style="medium">
        <color indexed="64"/>
      </right>
      <top style="thick">
        <color rgb="FF0000FF"/>
      </top>
      <bottom/>
      <diagonal/>
    </border>
    <border>
      <left style="thick">
        <color rgb="FF0000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10" fontId="5" fillId="0" borderId="0" xfId="2" applyNumberFormat="1" applyFont="1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Protection="1">
      <protection locked="0"/>
    </xf>
    <xf numFmtId="165" fontId="5" fillId="0" borderId="0" xfId="2" applyNumberFormat="1" applyFont="1" applyFill="1" applyAlignment="1" applyProtection="1">
      <alignment horizontal="center" vertical="center"/>
      <protection locked="0"/>
    </xf>
    <xf numFmtId="0" fontId="0" fillId="4" borderId="0" xfId="0" applyFill="1" applyProtection="1"/>
    <xf numFmtId="0" fontId="6" fillId="2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right" vertical="center" wrapText="1"/>
    </xf>
    <xf numFmtId="0" fontId="2" fillId="4" borderId="0" xfId="0" applyFont="1" applyFill="1" applyAlignment="1" applyProtection="1">
      <alignment horizontal="right" vertical="center"/>
    </xf>
    <xf numFmtId="0" fontId="4" fillId="4" borderId="0" xfId="0" applyFont="1" applyFill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right"/>
    </xf>
    <xf numFmtId="0" fontId="0" fillId="4" borderId="0" xfId="0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164" fontId="8" fillId="4" borderId="0" xfId="2" applyNumberFormat="1" applyFont="1" applyFill="1" applyBorder="1" applyAlignment="1" applyProtection="1">
      <alignment horizontal="center"/>
    </xf>
    <xf numFmtId="0" fontId="0" fillId="4" borderId="0" xfId="0" applyFill="1" applyBorder="1" applyProtection="1"/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5" fillId="0" borderId="6" xfId="1" applyNumberFormat="1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vertical="center" wrapText="1"/>
    </xf>
    <xf numFmtId="0" fontId="1" fillId="4" borderId="0" xfId="0" applyFont="1" applyFill="1" applyAlignment="1" applyProtection="1">
      <alignment horizontal="right" vertical="center" wrapText="1"/>
    </xf>
    <xf numFmtId="0" fontId="15" fillId="5" borderId="0" xfId="0" applyFont="1" applyFill="1" applyAlignment="1" applyProtection="1">
      <alignment horizontal="right" vertical="center"/>
    </xf>
    <xf numFmtId="0" fontId="0" fillId="5" borderId="0" xfId="0" applyFill="1" applyProtection="1"/>
    <xf numFmtId="0" fontId="1" fillId="5" borderId="0" xfId="0" applyFont="1" applyFill="1" applyAlignment="1" applyProtection="1">
      <alignment horizontal="right" vertical="center" wrapText="1"/>
    </xf>
    <xf numFmtId="0" fontId="0" fillId="5" borderId="0" xfId="0" applyFill="1" applyAlignment="1" applyProtection="1">
      <alignment horizontal="right" vertical="center" wrapText="1"/>
    </xf>
    <xf numFmtId="0" fontId="0" fillId="5" borderId="10" xfId="0" applyFill="1" applyBorder="1" applyProtection="1"/>
    <xf numFmtId="0" fontId="0" fillId="5" borderId="13" xfId="0" applyFill="1" applyBorder="1" applyProtection="1"/>
    <xf numFmtId="0" fontId="2" fillId="5" borderId="10" xfId="0" applyFont="1" applyFill="1" applyBorder="1" applyProtection="1"/>
    <xf numFmtId="0" fontId="2" fillId="5" borderId="13" xfId="0" applyFont="1" applyFill="1" applyBorder="1" applyProtection="1"/>
    <xf numFmtId="0" fontId="5" fillId="4" borderId="0" xfId="0" applyNumberFormat="1" applyFont="1" applyFill="1" applyAlignment="1" applyProtection="1">
      <alignment horizontal="center" vertical="center" wrapText="1"/>
    </xf>
    <xf numFmtId="0" fontId="5" fillId="5" borderId="0" xfId="0" applyNumberFormat="1" applyFont="1" applyFill="1" applyAlignment="1" applyProtection="1">
      <alignment horizontal="center" vertical="center" wrapText="1"/>
    </xf>
    <xf numFmtId="0" fontId="4" fillId="4" borderId="0" xfId="0" quotePrefix="1" applyFont="1" applyFill="1" applyAlignment="1" applyProtection="1">
      <alignment vertical="center" wrapText="1"/>
    </xf>
    <xf numFmtId="0" fontId="12" fillId="4" borderId="0" xfId="0" applyFont="1" applyFill="1" applyAlignment="1" applyProtection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3" fontId="18" fillId="0" borderId="0" xfId="0" applyNumberFormat="1" applyFont="1" applyAlignment="1">
      <alignment horizontal="center"/>
    </xf>
    <xf numFmtId="165" fontId="18" fillId="0" borderId="0" xfId="2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172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4" borderId="0" xfId="0" applyFont="1" applyFill="1" applyAlignment="1">
      <alignment horizontal="center"/>
    </xf>
    <xf numFmtId="172" fontId="18" fillId="4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175" fontId="18" fillId="0" borderId="0" xfId="2" applyNumberFormat="1" applyFont="1" applyAlignment="1">
      <alignment horizontal="center"/>
    </xf>
    <xf numFmtId="174" fontId="18" fillId="0" borderId="0" xfId="0" applyNumberFormat="1" applyFont="1" applyAlignment="1">
      <alignment horizontal="center"/>
    </xf>
    <xf numFmtId="171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 indent="1"/>
    </xf>
    <xf numFmtId="0" fontId="20" fillId="6" borderId="0" xfId="0" applyFont="1" applyFill="1" applyAlignment="1">
      <alignment horizontal="right"/>
    </xf>
    <xf numFmtId="0" fontId="20" fillId="6" borderId="0" xfId="0" applyFont="1" applyFill="1" applyAlignment="1">
      <alignment horizontal="left" vertical="top"/>
    </xf>
    <xf numFmtId="0" fontId="20" fillId="6" borderId="17" xfId="0" applyFont="1" applyFill="1" applyBorder="1" applyAlignment="1">
      <alignment horizontal="right"/>
    </xf>
    <xf numFmtId="0" fontId="20" fillId="6" borderId="0" xfId="0" applyFont="1" applyFill="1" applyAlignment="1">
      <alignment horizontal="right" vertical="top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5" fontId="18" fillId="0" borderId="18" xfId="2" applyNumberFormat="1" applyFont="1" applyFill="1" applyBorder="1" applyAlignment="1">
      <alignment horizontal="center"/>
    </xf>
    <xf numFmtId="174" fontId="18" fillId="0" borderId="19" xfId="0" applyNumberFormat="1" applyFont="1" applyFill="1" applyBorder="1" applyAlignment="1">
      <alignment horizontal="center"/>
    </xf>
    <xf numFmtId="174" fontId="18" fillId="0" borderId="0" xfId="0" applyNumberFormat="1" applyFont="1" applyFill="1" applyBorder="1" applyAlignment="1">
      <alignment horizontal="center"/>
    </xf>
    <xf numFmtId="173" fontId="18" fillId="0" borderId="0" xfId="2" applyNumberFormat="1" applyFont="1" applyFill="1" applyBorder="1" applyAlignment="1">
      <alignment horizontal="center"/>
    </xf>
    <xf numFmtId="173" fontId="18" fillId="0" borderId="5" xfId="2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3" fontId="18" fillId="0" borderId="7" xfId="0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75" fontId="18" fillId="0" borderId="21" xfId="2" applyNumberFormat="1" applyFont="1" applyFill="1" applyBorder="1" applyAlignment="1">
      <alignment horizontal="center"/>
    </xf>
    <xf numFmtId="174" fontId="18" fillId="0" borderId="22" xfId="0" applyNumberFormat="1" applyFont="1" applyFill="1" applyBorder="1" applyAlignment="1">
      <alignment horizontal="center"/>
    </xf>
    <xf numFmtId="174" fontId="18" fillId="0" borderId="7" xfId="0" applyNumberFormat="1" applyFont="1" applyFill="1" applyBorder="1" applyAlignment="1">
      <alignment horizontal="center"/>
    </xf>
    <xf numFmtId="173" fontId="18" fillId="0" borderId="7" xfId="2" applyNumberFormat="1" applyFont="1" applyFill="1" applyBorder="1" applyAlignment="1">
      <alignment horizontal="center"/>
    </xf>
    <xf numFmtId="173" fontId="18" fillId="0" borderId="8" xfId="2" applyNumberFormat="1" applyFont="1" applyFill="1" applyBorder="1" applyAlignment="1">
      <alignment horizontal="center"/>
    </xf>
    <xf numFmtId="10" fontId="18" fillId="0" borderId="29" xfId="2" applyNumberFormat="1" applyFont="1" applyFill="1" applyBorder="1"/>
    <xf numFmtId="10" fontId="18" fillId="0" borderId="30" xfId="2" applyNumberFormat="1" applyFont="1" applyFill="1" applyBorder="1"/>
    <xf numFmtId="10" fontId="18" fillId="0" borderId="18" xfId="2" applyNumberFormat="1" applyFont="1" applyFill="1" applyBorder="1"/>
    <xf numFmtId="10" fontId="18" fillId="0" borderId="19" xfId="2" applyNumberFormat="1" applyFont="1" applyFill="1" applyBorder="1"/>
    <xf numFmtId="0" fontId="18" fillId="0" borderId="18" xfId="0" applyFont="1" applyFill="1" applyBorder="1"/>
    <xf numFmtId="0" fontId="18" fillId="0" borderId="19" xfId="0" applyFont="1" applyFill="1" applyBorder="1"/>
    <xf numFmtId="10" fontId="18" fillId="0" borderId="31" xfId="2" applyNumberFormat="1" applyFont="1" applyFill="1" applyBorder="1"/>
    <xf numFmtId="10" fontId="18" fillId="0" borderId="32" xfId="2" applyNumberFormat="1" applyFont="1" applyFill="1" applyBorder="1"/>
    <xf numFmtId="167" fontId="18" fillId="0" borderId="29" xfId="2" applyNumberFormat="1" applyFont="1" applyFill="1" applyBorder="1"/>
    <xf numFmtId="167" fontId="18" fillId="0" borderId="30" xfId="2" applyNumberFormat="1" applyFont="1" applyFill="1" applyBorder="1"/>
    <xf numFmtId="167" fontId="18" fillId="0" borderId="18" xfId="2" applyNumberFormat="1" applyFont="1" applyFill="1" applyBorder="1"/>
    <xf numFmtId="167" fontId="18" fillId="0" borderId="19" xfId="2" applyNumberFormat="1" applyFont="1" applyFill="1" applyBorder="1"/>
    <xf numFmtId="167" fontId="18" fillId="0" borderId="31" xfId="2" applyNumberFormat="1" applyFont="1" applyFill="1" applyBorder="1"/>
    <xf numFmtId="167" fontId="18" fillId="0" borderId="32" xfId="2" applyNumberFormat="1" applyFont="1" applyFill="1" applyBorder="1"/>
    <xf numFmtId="0" fontId="14" fillId="5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</xf>
    <xf numFmtId="166" fontId="5" fillId="3" borderId="9" xfId="2" applyNumberFormat="1" applyFont="1" applyFill="1" applyBorder="1" applyAlignment="1" applyProtection="1">
      <alignment horizontal="center" vertical="center" wrapText="1"/>
    </xf>
    <xf numFmtId="166" fontId="5" fillId="3" borderId="12" xfId="2" applyNumberFormat="1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/>
    </xf>
    <xf numFmtId="0" fontId="11" fillId="5" borderId="13" xfId="0" applyNumberFormat="1" applyFont="1" applyFill="1" applyBorder="1" applyAlignment="1" applyProtection="1">
      <alignment vertical="center" wrapText="1"/>
    </xf>
    <xf numFmtId="0" fontId="11" fillId="5" borderId="14" xfId="0" applyNumberFormat="1" applyFont="1" applyFill="1" applyBorder="1" applyAlignment="1" applyProtection="1">
      <alignment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  <xf numFmtId="0" fontId="4" fillId="4" borderId="7" xfId="0" applyFont="1" applyFill="1" applyBorder="1" applyAlignment="1" applyProtection="1">
      <alignment horizontal="left" vertical="center" wrapText="1"/>
    </xf>
    <xf numFmtId="0" fontId="4" fillId="4" borderId="8" xfId="0" applyFont="1" applyFill="1" applyBorder="1" applyAlignment="1" applyProtection="1">
      <alignment horizontal="left" vertical="center" wrapText="1"/>
    </xf>
    <xf numFmtId="165" fontId="5" fillId="3" borderId="9" xfId="2" applyNumberFormat="1" applyFont="1" applyFill="1" applyBorder="1" applyAlignment="1" applyProtection="1">
      <alignment horizontal="center" vertical="center" wrapText="1"/>
    </xf>
    <xf numFmtId="165" fontId="5" fillId="3" borderId="12" xfId="2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0" fillId="6" borderId="0" xfId="0" applyFont="1" applyFill="1" applyAlignment="1">
      <alignment horizontal="right"/>
    </xf>
    <xf numFmtId="0" fontId="20" fillId="6" borderId="17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B2B2B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141514</xdr:colOff>
      <xdr:row>20</xdr:row>
      <xdr:rowOff>9894</xdr:rowOff>
    </xdr:from>
    <xdr:to>
      <xdr:col>15</xdr:col>
      <xdr:colOff>272143</xdr:colOff>
      <xdr:row>37</xdr:row>
      <xdr:rowOff>31666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514" y="10165276"/>
          <a:ext cx="15079684" cy="2848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showRowColHeaders="0" tabSelected="1" zoomScale="70" zoomScaleNormal="70" workbookViewId="0"/>
  </sheetViews>
  <sheetFormatPr defaultColWidth="9.109375" defaultRowHeight="13.2" x14ac:dyDescent="0.25"/>
  <cols>
    <col min="1" max="2" width="2.6640625" style="2" customWidth="1"/>
    <col min="3" max="3" width="72.33203125" style="2" customWidth="1"/>
    <col min="4" max="4" width="2.44140625" style="2" customWidth="1"/>
    <col min="5" max="5" width="22.88671875" style="2" customWidth="1"/>
    <col min="6" max="6" width="1.5546875" style="2" customWidth="1"/>
    <col min="7" max="7" width="20.5546875" style="2" customWidth="1"/>
    <col min="8" max="8" width="1.77734375" style="2" customWidth="1"/>
    <col min="9" max="9" width="39.77734375" style="2" customWidth="1"/>
    <col min="10" max="10" width="2.5546875" style="2" customWidth="1"/>
    <col min="11" max="14" width="9.109375" style="2"/>
    <col min="15" max="15" width="12.33203125" style="2" bestFit="1" customWidth="1"/>
    <col min="16" max="16384" width="9.109375" style="2"/>
  </cols>
  <sheetData>
    <row r="1" spans="2:14" ht="12" customHeight="1" x14ac:dyDescent="0.25"/>
    <row r="2" spans="2:14" ht="81" customHeight="1" x14ac:dyDescent="0.25">
      <c r="B2" s="90" t="s">
        <v>32</v>
      </c>
      <c r="C2" s="90"/>
      <c r="D2" s="90"/>
      <c r="E2" s="90"/>
      <c r="F2" s="90"/>
      <c r="G2" s="90"/>
      <c r="H2" s="90"/>
      <c r="I2" s="90"/>
      <c r="J2" s="90"/>
    </row>
    <row r="3" spans="2:14" ht="25.2" customHeight="1" x14ac:dyDescent="0.25">
      <c r="B3" s="5"/>
      <c r="C3" s="99" t="s">
        <v>4</v>
      </c>
      <c r="D3" s="99"/>
      <c r="E3" s="99"/>
      <c r="F3" s="99"/>
      <c r="G3" s="99"/>
      <c r="H3" s="99"/>
      <c r="I3" s="99"/>
      <c r="J3" s="99"/>
    </row>
    <row r="4" spans="2:14" ht="47.25" customHeight="1" x14ac:dyDescent="0.25">
      <c r="B4" s="5"/>
      <c r="C4" s="21" t="s">
        <v>3</v>
      </c>
      <c r="D4" s="8"/>
      <c r="E4" s="1">
        <v>0.95</v>
      </c>
      <c r="F4" s="9"/>
      <c r="G4" s="31">
        <f>1-E4</f>
        <v>5.0000000000000044E-2</v>
      </c>
      <c r="H4" s="30"/>
      <c r="I4" s="32" t="str">
        <f>CONCATENATE("= ALPHA ( i.e.,  ",100*G4," % )")</f>
        <v>= ALPHA ( i.e.,  5 % )</v>
      </c>
      <c r="J4" s="5"/>
    </row>
    <row r="5" spans="2:14" ht="10.050000000000001" customHeight="1" thickBot="1" x14ac:dyDescent="0.3">
      <c r="B5" s="5"/>
      <c r="C5" s="9"/>
      <c r="D5" s="9"/>
      <c r="E5" s="9"/>
      <c r="F5" s="9"/>
      <c r="G5" s="9"/>
      <c r="H5" s="9"/>
      <c r="I5" s="9"/>
      <c r="J5" s="5"/>
    </row>
    <row r="6" spans="2:14" ht="48" customHeight="1" thickTop="1" x14ac:dyDescent="0.25">
      <c r="B6" s="5"/>
      <c r="C6" s="21" t="s">
        <v>30</v>
      </c>
      <c r="D6" s="8"/>
      <c r="E6" s="16">
        <v>80000</v>
      </c>
      <c r="F6" s="17"/>
      <c r="G6" s="101" t="str">
        <f>CONCATENATE("The COMPLAINT RATE for that lot is:   ",ROUND(100*E8/E6,8)," %.")</f>
        <v>The COMPLAINT RATE for that lot is:   0.01125 %.</v>
      </c>
      <c r="H6" s="101"/>
      <c r="I6" s="102"/>
      <c r="J6" s="5"/>
      <c r="M6" s="3"/>
      <c r="N6" s="3"/>
    </row>
    <row r="7" spans="2:14" ht="14.25" customHeight="1" x14ac:dyDescent="0.25">
      <c r="B7" s="5"/>
      <c r="C7" s="7"/>
      <c r="D7" s="8"/>
      <c r="E7" s="18"/>
      <c r="F7" s="12"/>
      <c r="G7" s="103"/>
      <c r="H7" s="103"/>
      <c r="I7" s="104"/>
      <c r="J7" s="5"/>
      <c r="M7" s="3"/>
      <c r="N7" s="3"/>
    </row>
    <row r="8" spans="2:14" ht="48" customHeight="1" thickBot="1" x14ac:dyDescent="0.3">
      <c r="B8" s="5"/>
      <c r="C8" s="10" t="s">
        <v>29</v>
      </c>
      <c r="D8" s="8"/>
      <c r="E8" s="19">
        <v>9</v>
      </c>
      <c r="F8" s="20"/>
      <c r="G8" s="105"/>
      <c r="H8" s="105"/>
      <c r="I8" s="106"/>
      <c r="J8" s="5"/>
      <c r="M8" s="3"/>
      <c r="N8" s="3"/>
    </row>
    <row r="9" spans="2:14" ht="10.050000000000001" customHeight="1" thickTop="1" x14ac:dyDescent="0.25">
      <c r="B9" s="5"/>
      <c r="C9" s="10"/>
      <c r="D9" s="10"/>
      <c r="E9" s="10"/>
      <c r="F9" s="10"/>
      <c r="G9" s="10"/>
      <c r="H9" s="10"/>
      <c r="I9" s="13"/>
      <c r="J9" s="5"/>
      <c r="M9" s="3"/>
      <c r="N9" s="3"/>
    </row>
    <row r="10" spans="2:14" ht="61.8" customHeight="1" x14ac:dyDescent="0.25">
      <c r="B10" s="5"/>
      <c r="C10" s="10" t="s">
        <v>33</v>
      </c>
      <c r="D10" s="8"/>
      <c r="E10" s="4">
        <v>5.6168831168831171E-5</v>
      </c>
      <c r="F10" s="12"/>
      <c r="G10" s="109" t="s">
        <v>1</v>
      </c>
      <c r="H10" s="109"/>
      <c r="I10" s="109"/>
      <c r="J10" s="5"/>
      <c r="M10" s="3"/>
      <c r="N10" s="3"/>
    </row>
    <row r="11" spans="2:14" ht="10.050000000000001" customHeight="1" thickBot="1" x14ac:dyDescent="0.3">
      <c r="B11" s="5"/>
      <c r="C11" s="11"/>
      <c r="D11" s="11"/>
      <c r="E11" s="15"/>
      <c r="F11" s="12"/>
      <c r="G11" s="12"/>
      <c r="H11" s="12"/>
      <c r="I11" s="14"/>
      <c r="J11" s="5"/>
    </row>
    <row r="12" spans="2:14" ht="50.25" customHeight="1" thickTop="1" x14ac:dyDescent="0.25">
      <c r="B12" s="5"/>
      <c r="C12" s="22" t="s">
        <v>0</v>
      </c>
      <c r="D12" s="23"/>
      <c r="E12" s="107">
        <f>IF(ISERROR(BETAINV(1-E4,E8,E6-E8+1)),"SEE MESSAGE BELOW",(BETAINV(1-E4,E8,E6-E8+1)))</f>
        <v>5.8691556546379563E-5</v>
      </c>
      <c r="F12" s="28"/>
      <c r="G12" s="100" t="str">
        <f>CONCATENATE("This is the LOWER one-sided  ",100*E4," % ' Exact ' confidence limit for the observed ", 100*E8/E6," % complaint rate shown above.")</f>
        <v>This is the LOWER one-sided  95 % ' Exact ' confidence limit for the observed 0.01125 % complaint rate shown above.</v>
      </c>
      <c r="H12" s="100"/>
      <c r="I12" s="96"/>
      <c r="J12" s="5"/>
    </row>
    <row r="13" spans="2:14" ht="78" customHeight="1" thickBot="1" x14ac:dyDescent="0.3">
      <c r="B13" s="5"/>
      <c r="C13" s="24" t="s">
        <v>31</v>
      </c>
      <c r="D13" s="23"/>
      <c r="E13" s="108"/>
      <c r="F13" s="29"/>
      <c r="G13" s="97" t="str">
        <f>IF(E12&gt;E10,
CONCATENATE("Because this lower 1-sided exact confidence limit is larger than the historical complaint rate of ",100*ROUND(E10,8),"%, then the ", ROUND(100*E8/E6,8),"% complaint rate (shown above) IS STATISTICALLY SIGNIFICANTLY LARGER than the historical rate, at an Alpha significance level of ",1-E4,"."),
CONCATENATE("Because this lower 1-sided exact confidence limit is equal to or smaller than the historical complaint rate, then the ", ROUND(100*E8/E6,8),"% complaint rate (shown above) is NOT STATISTICALLY SIGNIFICANTLY LARGER than the historical rate of ",100*ROUND(E10,8),"%",", at an Alpha significance level of ",(1-E4),"."))</f>
        <v>Because this lower 1-sided exact confidence limit is larger than the historical complaint rate of 0.005617%, then the 0.01125% complaint rate (shown above) IS STATISTICALLY SIGNIFICANTLY LARGER than the historical rate, at an Alpha significance level of 0.05.</v>
      </c>
      <c r="H13" s="97"/>
      <c r="I13" s="98"/>
      <c r="J13" s="5"/>
    </row>
    <row r="14" spans="2:14" ht="35.25" customHeight="1" thickTop="1" thickBot="1" x14ac:dyDescent="0.3">
      <c r="B14" s="5"/>
      <c r="C14" s="92" t="str">
        <f>IF(OR(ISERROR(E12),ISERROR(E15),ISTEXT(E12),ISTEXT(E15)),"UNFORTUNATELY, MS Excel cannot calculate using the combination of values entered above;  please try a different combination.","---")</f>
        <v>---</v>
      </c>
      <c r="D14" s="92"/>
      <c r="E14" s="92"/>
      <c r="F14" s="92"/>
      <c r="G14" s="92"/>
      <c r="H14" s="92"/>
      <c r="I14" s="92"/>
      <c r="J14" s="33"/>
    </row>
    <row r="15" spans="2:14" ht="42.6" customHeight="1" thickTop="1" x14ac:dyDescent="0.25">
      <c r="B15" s="5"/>
      <c r="C15" s="22" t="s">
        <v>2</v>
      </c>
      <c r="D15" s="23"/>
      <c r="E15" s="93">
        <f>IF(ISERROR(1-_xlfn.BINOM.DIST(E8-1,E6,E10,TRUE)),"SEE MESSAGE ABOVE",1-_xlfn.BINOM.DIST(E8-1,E6,E10,TRUE))</f>
        <v>3.995269360772491E-2</v>
      </c>
      <c r="F15" s="26"/>
      <c r="G15" s="95" t="str">
        <f>CONCATENATE("This is a standard binomial significance test with Null Hypothesis equal to the Historical Complaint Rate of ",ROUND(100*E10,8),"%.")</f>
        <v>This is a standard binomial significance test with Null Hypothesis equal to the Historical Complaint Rate of 0.00561688%.</v>
      </c>
      <c r="H15" s="95"/>
      <c r="I15" s="96"/>
      <c r="J15" s="5"/>
      <c r="L15" s="6"/>
    </row>
    <row r="16" spans="2:14" ht="87.6" customHeight="1" thickBot="1" x14ac:dyDescent="0.3">
      <c r="B16" s="5"/>
      <c r="C16" s="25" t="str">
        <f>CONCATENATE("This is the 'P-value' probability that the observed complaint rate of ", ROUND(100*E8/E6,8)," % (or an even larger complaint rate) would be found in a Lot of size ",E6,", assuming that such a Lot was taken from a series of similar lots whose average complaint rate equals the Historical Complaint Rate of ",ROUND(100*E10,8)," %.")</f>
        <v>This is the 'P-value' probability that the observed complaint rate of 0.01125 % (or an even larger complaint rate) would be found in a Lot of size 80000, assuming that such a Lot was taken from a series of similar lots whose average complaint rate equals the Historical Complaint Rate of 0.00561688 %.</v>
      </c>
      <c r="D16" s="23"/>
      <c r="E16" s="94"/>
      <c r="F16" s="27"/>
      <c r="G16" s="97" t="str">
        <f>IF(E15&gt;(1-E4),
CONCATENATE("Because this value is larger than the chosen 'Alpha' value of ",ROUND((1-E4),4),", then the ",ROUND(100*E8/E6,8),"% complaint rate (shown above) IS NOT STATISTICALLY SIGNIFICANTLY LARGER than the historical rate of ",100*ROUND(E10,8),"%, at an Alpha significance level of ",(1-E4),"."),
CONCATENATE("Because this value is equal to or smaller than chosen 'Alpha' value of ",ROUND((1-E4),4),", then the ",ROUND(100*E8/E6,8),"% complaint rate (shown above) is IS STATISTICALLY SIGNIFICANTLY LARGER than the historical rate of ",100*ROUND(E10,8),"%, at an Alpha significance level of ",(1-E4),"."))</f>
        <v>Because this value is equal to or smaller than chosen 'Alpha' value of 0.05, then the 0.01125% complaint rate (shown above) is IS STATISTICALLY SIGNIFICANTLY LARGER than the historical rate of 0.005617%, at an Alpha significance level of 0.05.</v>
      </c>
      <c r="H16" s="97"/>
      <c r="I16" s="98"/>
      <c r="J16" s="5"/>
    </row>
    <row r="17" spans="2:10" ht="13.8" thickTop="1" x14ac:dyDescent="0.25">
      <c r="B17" s="5"/>
      <c r="C17" s="5"/>
      <c r="D17" s="5"/>
      <c r="E17" s="5"/>
      <c r="F17" s="5"/>
      <c r="G17" s="5"/>
      <c r="H17" s="5"/>
      <c r="I17" s="5"/>
      <c r="J17" s="5"/>
    </row>
    <row r="19" spans="2:10" ht="99" customHeight="1" x14ac:dyDescent="0.25">
      <c r="C19" s="91" t="s">
        <v>28</v>
      </c>
      <c r="D19" s="91"/>
      <c r="E19" s="91"/>
      <c r="F19" s="91"/>
      <c r="G19" s="91"/>
      <c r="H19" s="91"/>
      <c r="I19" s="91"/>
    </row>
  </sheetData>
  <sheetProtection algorithmName="SHA-512" hashValue="DdStFxGUwOmuoFHqH69z80kyL/qhEeW7jYeZDk9mfgiqNm1XJETqk4lyk9Hpv0bgGR8/yVFzAwNmQLOV5GOkXg==" saltValue="zZ0nRzpLrpxbCO8mm1O3nA==" spinCount="100000" sheet="1" objects="1" scenarios="1" formatCells="0"/>
  <mergeCells count="12">
    <mergeCell ref="B2:J2"/>
    <mergeCell ref="C19:I19"/>
    <mergeCell ref="C14:I14"/>
    <mergeCell ref="E15:E16"/>
    <mergeCell ref="G15:I15"/>
    <mergeCell ref="G16:I16"/>
    <mergeCell ref="G13:I13"/>
    <mergeCell ref="C3:J3"/>
    <mergeCell ref="G12:I12"/>
    <mergeCell ref="G6:I8"/>
    <mergeCell ref="E12:E13"/>
    <mergeCell ref="G10:I10"/>
  </mergeCells>
  <phoneticPr fontId="3" type="noConversion"/>
  <conditionalFormatting sqref="C14:I14">
    <cfRule type="expression" dxfId="0" priority="1">
      <formula>OR(ISERROR(E12),ISERROR(E15),ISTEXT(E12),ISTEXT(E15))</formula>
    </cfRule>
  </conditionalFormatting>
  <dataValidations count="4">
    <dataValidation type="whole" operator="greaterThan" allowBlank="1" showInputMessage="1" showErrorMessage="1" error="Please enter a whole number greater than zero." sqref="E6:E7">
      <formula1>0</formula1>
    </dataValidation>
    <dataValidation type="decimal" allowBlank="1" showInputMessage="1" showErrorMessage="1" error="Enter a value between 0.50 and 1.00 (that is, between 50 and 100 %)." sqref="E4">
      <formula1>0.5</formula1>
      <formula2>1</formula2>
    </dataValidation>
    <dataValidation type="whole" allowBlank="1" showInputMessage="1" showErrorMessage="1" error="Please enter a whole number greater than or equal to zero,_x000a_but not greater than the &quot;Quantity of Product&quot; shown above." sqref="E8">
      <formula1>-1</formula1>
      <formula2>E6</formula2>
    </dataValidation>
    <dataValidation type="decimal" allowBlank="1" showInputMessage="1" showErrorMessage="1" error="Enter a value between 0.00 and 1.00 (that is, between 0 and 100 %)." sqref="E10">
      <formula1>0</formula1>
      <formula2>1</formula2>
    </dataValidation>
  </dataValidations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showGridLines="0" showRowColHeaders="0" topLeftCell="BS2610" zoomScale="85" zoomScaleNormal="85" workbookViewId="0">
      <selection activeCell="CS2635" sqref="CS2635"/>
    </sheetView>
  </sheetViews>
  <sheetFormatPr defaultRowHeight="13.2" x14ac:dyDescent="0.25"/>
  <cols>
    <col min="1" max="1" width="3.77734375" style="35" customWidth="1"/>
    <col min="2" max="2" width="12.5546875" style="34" customWidth="1"/>
    <col min="3" max="3" width="19.33203125" style="34" customWidth="1"/>
    <col min="4" max="4" width="20.88671875" style="34" customWidth="1"/>
    <col min="5" max="5" width="22.6640625" style="34" customWidth="1"/>
    <col min="6" max="6" width="17.77734375" style="34" customWidth="1"/>
    <col min="7" max="7" width="16.88671875" style="34" customWidth="1"/>
    <col min="8" max="8" width="16.109375" style="34" customWidth="1"/>
    <col min="9" max="9" width="16.33203125" style="34" customWidth="1"/>
    <col min="10" max="10" width="10.44140625" style="35" customWidth="1"/>
    <col min="11" max="11" width="8.88671875" style="35"/>
    <col min="12" max="12" width="10.5546875" style="35" bestFit="1" customWidth="1"/>
    <col min="13" max="16384" width="8.88671875" style="35"/>
  </cols>
  <sheetData>
    <row r="1" spans="2:11" ht="13.8" thickBot="1" x14ac:dyDescent="0.3">
      <c r="F1" s="110" t="s">
        <v>11</v>
      </c>
      <c r="G1" s="111"/>
      <c r="H1" s="110" t="s">
        <v>12</v>
      </c>
      <c r="I1" s="111"/>
    </row>
    <row r="2" spans="2:11" ht="13.8" thickBot="1" x14ac:dyDescent="0.3">
      <c r="B2" s="34" t="s">
        <v>5</v>
      </c>
      <c r="C2" s="34" t="s">
        <v>6</v>
      </c>
      <c r="D2" s="34" t="s">
        <v>7</v>
      </c>
      <c r="E2" s="34" t="s">
        <v>8</v>
      </c>
      <c r="F2" s="34" t="s">
        <v>9</v>
      </c>
      <c r="G2" s="34" t="s">
        <v>10</v>
      </c>
      <c r="H2" s="34" t="s">
        <v>9</v>
      </c>
      <c r="I2" s="34" t="s">
        <v>10</v>
      </c>
    </row>
    <row r="3" spans="2:11" x14ac:dyDescent="0.25">
      <c r="B3" s="34">
        <v>0.5</v>
      </c>
      <c r="C3" s="36">
        <v>1000</v>
      </c>
      <c r="D3" s="36">
        <v>10</v>
      </c>
      <c r="E3" s="34">
        <v>0.01</v>
      </c>
      <c r="F3" s="37">
        <v>9.6654825058189297E-3</v>
      </c>
      <c r="G3" s="38">
        <v>0.54269940782510884</v>
      </c>
      <c r="H3" s="39">
        <v>9.6654800000000006E-3</v>
      </c>
      <c r="I3" s="39">
        <v>0.54269900000000004</v>
      </c>
      <c r="J3" s="84">
        <f t="shared" ref="J3" si="0">F3/H3</f>
        <v>1.0000002592544737</v>
      </c>
      <c r="K3" s="85">
        <f t="shared" ref="K3" si="1">G3/I3</f>
        <v>1.0000007514756961</v>
      </c>
    </row>
    <row r="4" spans="2:11" x14ac:dyDescent="0.25">
      <c r="B4" s="34">
        <v>0.6</v>
      </c>
      <c r="C4" s="36">
        <v>1000</v>
      </c>
      <c r="D4" s="36">
        <v>100</v>
      </c>
      <c r="E4" s="34">
        <v>0.09</v>
      </c>
      <c r="F4" s="37">
        <v>9.725230270867323E-2</v>
      </c>
      <c r="G4" s="38">
        <v>0.14717649377842845</v>
      </c>
      <c r="H4" s="39">
        <v>9.72523E-2</v>
      </c>
      <c r="I4" s="39">
        <v>0.14691799999999999</v>
      </c>
      <c r="J4" s="86">
        <f>F4/H4</f>
        <v>1.0000000278520222</v>
      </c>
      <c r="K4" s="87">
        <f>G4/I4</f>
        <v>1.0017594425354854</v>
      </c>
    </row>
    <row r="5" spans="2:11" x14ac:dyDescent="0.25">
      <c r="B5" s="34">
        <v>0.7</v>
      </c>
      <c r="C5" s="36">
        <v>10000</v>
      </c>
      <c r="D5" s="36">
        <v>100</v>
      </c>
      <c r="E5" s="34">
        <v>0.01</v>
      </c>
      <c r="F5" s="37">
        <v>9.4545516109518866E-3</v>
      </c>
      <c r="G5" s="38">
        <v>0.51349927171676346</v>
      </c>
      <c r="H5" s="39">
        <v>9.4567999999999996E-3</v>
      </c>
      <c r="I5" s="39">
        <v>0.520042</v>
      </c>
      <c r="J5" s="86">
        <f t="shared" ref="J5:J12" si="2">F5/H5</f>
        <v>0.99976224631502064</v>
      </c>
      <c r="K5" s="87">
        <f t="shared" ref="K5:K12" si="3">G5/I5</f>
        <v>0.98741884639464406</v>
      </c>
    </row>
    <row r="6" spans="2:11" x14ac:dyDescent="0.25">
      <c r="B6" s="34">
        <v>0.8</v>
      </c>
      <c r="C6" s="36">
        <v>10000</v>
      </c>
      <c r="D6" s="36">
        <v>1000</v>
      </c>
      <c r="E6" s="34">
        <v>9.5000000000000001E-2</v>
      </c>
      <c r="F6" s="37">
        <v>9.7457895414938558E-2</v>
      </c>
      <c r="G6" s="38">
        <v>4.6488138933487022E-2</v>
      </c>
      <c r="H6" s="39">
        <v>9.7580200000000006E-2</v>
      </c>
      <c r="I6" s="39">
        <v>4.5687999999999999E-2</v>
      </c>
      <c r="J6" s="86">
        <f t="shared" si="2"/>
        <v>0.99874662498066769</v>
      </c>
      <c r="K6" s="87">
        <f t="shared" si="3"/>
        <v>1.0175131092078231</v>
      </c>
    </row>
    <row r="7" spans="2:11" x14ac:dyDescent="0.25">
      <c r="B7" s="34">
        <v>0.9</v>
      </c>
      <c r="C7" s="36">
        <v>100000</v>
      </c>
      <c r="D7" s="36">
        <v>1000</v>
      </c>
      <c r="E7" s="34">
        <v>0.01</v>
      </c>
      <c r="F7" s="37">
        <v>9.5988304798985645E-3</v>
      </c>
      <c r="G7" s="38">
        <v>0.50426868797204549</v>
      </c>
      <c r="H7" s="39">
        <v>9.6007200000000001E-3</v>
      </c>
      <c r="I7" s="39">
        <v>0.50634199999999996</v>
      </c>
      <c r="J7" s="86">
        <f t="shared" si="2"/>
        <v>0.99980318975020255</v>
      </c>
      <c r="K7" s="87">
        <f t="shared" si="3"/>
        <v>0.99590531295457518</v>
      </c>
    </row>
    <row r="8" spans="2:11" x14ac:dyDescent="0.25">
      <c r="B8" s="34">
        <v>0.95</v>
      </c>
      <c r="C8" s="36">
        <v>100000</v>
      </c>
      <c r="D8" s="36">
        <v>10000</v>
      </c>
      <c r="E8" s="34">
        <v>9.9000000000000005E-2</v>
      </c>
      <c r="F8" s="37">
        <v>9.8443137562854E-2</v>
      </c>
      <c r="G8" s="38">
        <v>0.14608594800894459</v>
      </c>
      <c r="H8" s="39">
        <v>9.8436800000000005E-2</v>
      </c>
      <c r="I8" s="39">
        <v>0.14605099999999999</v>
      </c>
      <c r="J8" s="86">
        <f t="shared" si="2"/>
        <v>1.0000643820487256</v>
      </c>
      <c r="K8" s="87">
        <f t="shared" si="3"/>
        <v>1.0002392863379546</v>
      </c>
    </row>
    <row r="9" spans="2:11" x14ac:dyDescent="0.25">
      <c r="B9" s="34">
        <v>0.97499999999999998</v>
      </c>
      <c r="C9" s="36">
        <v>100000</v>
      </c>
      <c r="D9" s="36">
        <v>10</v>
      </c>
      <c r="E9" s="34">
        <v>5.0000000000000002E-5</v>
      </c>
      <c r="F9" s="37">
        <v>4.7954895139011432E-5</v>
      </c>
      <c r="G9" s="38">
        <v>3.1824430731844711E-2</v>
      </c>
      <c r="H9" s="39">
        <v>4.7955899999999999E-5</v>
      </c>
      <c r="I9" s="39">
        <v>3.18243E-2</v>
      </c>
      <c r="J9" s="86">
        <f t="shared" si="2"/>
        <v>0.999979046144717</v>
      </c>
      <c r="K9" s="87">
        <f t="shared" si="3"/>
        <v>1.0000041079252242</v>
      </c>
    </row>
    <row r="10" spans="2:11" x14ac:dyDescent="0.25">
      <c r="B10" s="34">
        <v>0.99</v>
      </c>
      <c r="C10" s="36">
        <v>1000000</v>
      </c>
      <c r="D10" s="36">
        <v>10</v>
      </c>
      <c r="E10" s="34">
        <v>1.0000000000000001E-5</v>
      </c>
      <c r="F10" s="37">
        <v>4.130209222938923E-6</v>
      </c>
      <c r="G10" s="38">
        <v>0.54207091108187155</v>
      </c>
      <c r="H10" s="39">
        <v>4.1302300000000003E-6</v>
      </c>
      <c r="I10" s="39">
        <v>0.54207099999999997</v>
      </c>
      <c r="J10" s="86">
        <f t="shared" si="2"/>
        <v>0.99999496951475408</v>
      </c>
      <c r="K10" s="87">
        <f t="shared" si="3"/>
        <v>0.99999983596590036</v>
      </c>
    </row>
    <row r="11" spans="2:11" x14ac:dyDescent="0.25">
      <c r="B11" s="34">
        <v>0.999</v>
      </c>
      <c r="C11" s="36">
        <v>1000000</v>
      </c>
      <c r="D11" s="36">
        <v>100</v>
      </c>
      <c r="E11" s="34">
        <v>9.0000000000000006E-5</v>
      </c>
      <c r="F11" s="37">
        <v>7.1922371293953462E-5</v>
      </c>
      <c r="G11" s="38">
        <v>0.15821049429199296</v>
      </c>
      <c r="H11" s="39">
        <v>7.1905599999999998E-5</v>
      </c>
      <c r="I11" s="39">
        <v>0.158308</v>
      </c>
      <c r="J11" s="86">
        <f t="shared" si="2"/>
        <v>1.0002332404423782</v>
      </c>
      <c r="K11" s="87">
        <f t="shared" si="3"/>
        <v>0.99938407592789347</v>
      </c>
    </row>
    <row r="12" spans="2:11" ht="13.8" thickBot="1" x14ac:dyDescent="0.3">
      <c r="B12" s="34">
        <v>0.99990000000000001</v>
      </c>
      <c r="C12" s="36">
        <v>1000000</v>
      </c>
      <c r="D12" s="36">
        <v>1000</v>
      </c>
      <c r="E12" s="34">
        <v>8.9999999999999998E-4</v>
      </c>
      <c r="F12" s="37">
        <v>8.8669808403793492E-4</v>
      </c>
      <c r="G12" s="38">
        <v>5.4697360076483292E-4</v>
      </c>
      <c r="H12" s="39">
        <v>8.8673599999999995E-4</v>
      </c>
      <c r="I12" s="39">
        <v>4.5311899999999998E-4</v>
      </c>
      <c r="J12" s="88">
        <f t="shared" si="2"/>
        <v>0.99995724098033123</v>
      </c>
      <c r="K12" s="89">
        <f t="shared" si="3"/>
        <v>1.2071301374800725</v>
      </c>
    </row>
    <row r="13" spans="2:11" x14ac:dyDescent="0.25">
      <c r="H13" s="40"/>
    </row>
    <row r="14" spans="2:11" x14ac:dyDescent="0.25">
      <c r="H14" s="40"/>
    </row>
    <row r="15" spans="2:11" x14ac:dyDescent="0.25">
      <c r="B15" s="41">
        <v>0.9900000000000001</v>
      </c>
      <c r="C15" s="41">
        <v>1000000</v>
      </c>
      <c r="D15" s="41">
        <v>10</v>
      </c>
      <c r="E15" s="41">
        <v>3.9999999999999998E-6</v>
      </c>
      <c r="H15" s="40"/>
    </row>
    <row r="17" spans="2:13" x14ac:dyDescent="0.25">
      <c r="F17" s="42">
        <f>'Complaint Rate Analysis'!E12</f>
        <v>5.8691556546379563E-5</v>
      </c>
      <c r="G17" s="42">
        <f>'Complaint Rate Analysis'!E15</f>
        <v>3.995269360772491E-2</v>
      </c>
    </row>
    <row r="19" spans="2:13" ht="13.8" thickBot="1" x14ac:dyDescent="0.3"/>
    <row r="20" spans="2:13" x14ac:dyDescent="0.25">
      <c r="B20" s="43">
        <v>0.9</v>
      </c>
      <c r="C20" s="36">
        <v>100</v>
      </c>
      <c r="D20" s="36">
        <v>1</v>
      </c>
      <c r="E20" s="44">
        <v>0.01</v>
      </c>
      <c r="F20" s="45">
        <v>1.0530503095456181E-3</v>
      </c>
      <c r="G20" s="46">
        <v>0.63396765872677052</v>
      </c>
      <c r="H20" s="46">
        <v>1.05305E-3</v>
      </c>
      <c r="I20" s="46">
        <v>0.63396799999999998</v>
      </c>
      <c r="J20" s="76">
        <f t="shared" ref="J20:J29" si="4">F20/H20</f>
        <v>1.0000002939514914</v>
      </c>
      <c r="K20" s="77">
        <f t="shared" ref="K20:K29" si="5">G20/I20</f>
        <v>0.99999946168697873</v>
      </c>
      <c r="L20" s="44">
        <f t="shared" ref="L20:L29" si="6">F20-H20</f>
        <v>3.095456180875894E-10</v>
      </c>
      <c r="M20" s="44">
        <f t="shared" ref="M20:M29" si="7">G20-I20</f>
        <v>-3.4127322945387562E-7</v>
      </c>
    </row>
    <row r="21" spans="2:13" x14ac:dyDescent="0.25">
      <c r="B21" s="34">
        <f>B20+0.01</f>
        <v>0.91</v>
      </c>
      <c r="C21" s="36">
        <v>100</v>
      </c>
      <c r="D21" s="36">
        <v>2</v>
      </c>
      <c r="E21" s="44">
        <v>1.4999999999999999E-2</v>
      </c>
      <c r="F21" s="45">
        <v>5.0058650154014726E-3</v>
      </c>
      <c r="G21" s="46">
        <v>0.44343843399347427</v>
      </c>
      <c r="H21" s="46">
        <v>5.0058699999999999E-3</v>
      </c>
      <c r="I21" s="46">
        <v>0.443438</v>
      </c>
      <c r="J21" s="78">
        <f t="shared" si="4"/>
        <v>0.99999900424930588</v>
      </c>
      <c r="K21" s="79">
        <f t="shared" si="5"/>
        <v>1.0000009787015869</v>
      </c>
      <c r="L21" s="44">
        <f t="shared" si="6"/>
        <v>-4.9845985273383464E-9</v>
      </c>
      <c r="M21" s="44">
        <f t="shared" si="7"/>
        <v>4.3399347426920087E-7</v>
      </c>
    </row>
    <row r="22" spans="2:13" x14ac:dyDescent="0.25">
      <c r="B22" s="34">
        <f t="shared" ref="B22:B29" si="8">B21+0.01</f>
        <v>0.92</v>
      </c>
      <c r="C22" s="36">
        <v>100</v>
      </c>
      <c r="D22" s="36">
        <v>3</v>
      </c>
      <c r="E22" s="44">
        <v>2.1999999999999999E-2</v>
      </c>
      <c r="F22" s="45">
        <v>1.0034192140044336E-2</v>
      </c>
      <c r="G22" s="46">
        <v>0.37787587732401318</v>
      </c>
      <c r="H22" s="46">
        <v>1.00342E-2</v>
      </c>
      <c r="I22" s="46">
        <v>0.37787599999999999</v>
      </c>
      <c r="J22" s="78">
        <f t="shared" si="4"/>
        <v>0.99999921668337644</v>
      </c>
      <c r="K22" s="79">
        <f t="shared" si="5"/>
        <v>0.9999996753538547</v>
      </c>
      <c r="L22" s="44">
        <f t="shared" si="6"/>
        <v>-7.8599556637554135E-9</v>
      </c>
      <c r="M22" s="44">
        <f t="shared" si="7"/>
        <v>-1.2267598681336978E-7</v>
      </c>
    </row>
    <row r="23" spans="2:13" x14ac:dyDescent="0.25">
      <c r="B23" s="34">
        <f t="shared" si="8"/>
        <v>0.93</v>
      </c>
      <c r="C23" s="36">
        <v>100</v>
      </c>
      <c r="D23" s="36">
        <v>4</v>
      </c>
      <c r="E23" s="44">
        <v>2.8000000000000001E-2</v>
      </c>
      <c r="F23" s="45">
        <v>1.5455633926380809E-2</v>
      </c>
      <c r="G23" s="46">
        <v>0.30741013857776889</v>
      </c>
      <c r="H23" s="46">
        <v>1.54556E-2</v>
      </c>
      <c r="I23" s="46">
        <v>0.30741000000000002</v>
      </c>
      <c r="J23" s="78">
        <f t="shared" si="4"/>
        <v>1.0000021950866229</v>
      </c>
      <c r="K23" s="79">
        <f t="shared" si="5"/>
        <v>1.0000004507913498</v>
      </c>
      <c r="L23" s="44">
        <f t="shared" si="6"/>
        <v>3.3926380808846357E-8</v>
      </c>
      <c r="M23" s="44">
        <f t="shared" si="7"/>
        <v>1.3857776887116202E-7</v>
      </c>
    </row>
    <row r="24" spans="2:13" x14ac:dyDescent="0.25">
      <c r="B24" s="34">
        <f t="shared" si="8"/>
        <v>0.94000000000000006</v>
      </c>
      <c r="C24" s="36">
        <v>100</v>
      </c>
      <c r="D24" s="36">
        <v>5</v>
      </c>
      <c r="E24" s="44">
        <v>3.3000000000000002E-2</v>
      </c>
      <c r="F24" s="45">
        <v>2.0987385002134935E-2</v>
      </c>
      <c r="G24" s="46">
        <v>0.23523169792909293</v>
      </c>
      <c r="H24" s="46">
        <v>2.09874E-2</v>
      </c>
      <c r="I24" s="46">
        <v>0.235231</v>
      </c>
      <c r="J24" s="78">
        <f t="shared" si="4"/>
        <v>0.99999928538718164</v>
      </c>
      <c r="K24" s="79">
        <f t="shared" si="5"/>
        <v>1.0000029669945412</v>
      </c>
      <c r="L24" s="44">
        <f t="shared" si="6"/>
        <v>-1.4997865064453331E-8</v>
      </c>
      <c r="M24" s="44">
        <f t="shared" si="7"/>
        <v>6.9792909293542316E-7</v>
      </c>
    </row>
    <row r="25" spans="2:13" x14ac:dyDescent="0.25">
      <c r="B25" s="34">
        <f t="shared" si="8"/>
        <v>0.95000000000000007</v>
      </c>
      <c r="C25" s="36">
        <v>100</v>
      </c>
      <c r="D25" s="36">
        <v>6</v>
      </c>
      <c r="E25" s="44">
        <v>3.6999999999999998E-2</v>
      </c>
      <c r="F25" s="45">
        <v>2.6449712975947559E-2</v>
      </c>
      <c r="G25" s="46">
        <v>0.16636593893440599</v>
      </c>
      <c r="H25" s="46">
        <v>2.64497E-2</v>
      </c>
      <c r="I25" s="46">
        <v>0.16636600000000001</v>
      </c>
      <c r="J25" s="78">
        <f t="shared" si="4"/>
        <v>1.0000004905895929</v>
      </c>
      <c r="K25" s="79">
        <f t="shared" si="5"/>
        <v>0.9999996329442673</v>
      </c>
      <c r="L25" s="44">
        <f t="shared" si="6"/>
        <v>1.2975947559501488E-8</v>
      </c>
      <c r="M25" s="44">
        <f t="shared" si="7"/>
        <v>-6.1065594025855319E-8</v>
      </c>
    </row>
    <row r="26" spans="2:13" x14ac:dyDescent="0.25">
      <c r="B26" s="34">
        <f t="shared" si="8"/>
        <v>0.96000000000000008</v>
      </c>
      <c r="C26" s="36">
        <v>100</v>
      </c>
      <c r="D26" s="36">
        <v>7</v>
      </c>
      <c r="E26" s="44">
        <v>0.04</v>
      </c>
      <c r="F26" s="45">
        <v>3.1675561761953651E-2</v>
      </c>
      <c r="G26" s="46">
        <v>0.10639231790455805</v>
      </c>
      <c r="H26" s="46">
        <v>3.1675599999999998E-2</v>
      </c>
      <c r="I26" s="46">
        <v>0.106392</v>
      </c>
      <c r="J26" s="78">
        <f t="shared" si="4"/>
        <v>0.99999879282329784</v>
      </c>
      <c r="K26" s="79">
        <f t="shared" si="5"/>
        <v>1.0000029880494592</v>
      </c>
      <c r="L26" s="44">
        <f t="shared" si="6"/>
        <v>-3.8238046347338628E-8</v>
      </c>
      <c r="M26" s="44">
        <f t="shared" si="7"/>
        <v>3.1790455805313922E-7</v>
      </c>
    </row>
    <row r="27" spans="2:13" x14ac:dyDescent="0.25">
      <c r="B27" s="34">
        <f t="shared" si="8"/>
        <v>0.97000000000000008</v>
      </c>
      <c r="C27" s="36">
        <v>100</v>
      </c>
      <c r="D27" s="36">
        <v>8</v>
      </c>
      <c r="E27" s="44">
        <v>4.2000000000000003E-2</v>
      </c>
      <c r="F27" s="45">
        <v>3.6445376677596772E-2</v>
      </c>
      <c r="G27" s="46">
        <v>5.9835526618042256E-2</v>
      </c>
      <c r="H27" s="46">
        <v>3.6445400000000003E-2</v>
      </c>
      <c r="I27" s="46">
        <v>5.9835399999999997E-2</v>
      </c>
      <c r="J27" s="78">
        <f t="shared" si="4"/>
        <v>0.99999936007278745</v>
      </c>
      <c r="K27" s="79">
        <f t="shared" si="5"/>
        <v>1.0000021161058881</v>
      </c>
      <c r="L27" s="44">
        <f t="shared" si="6"/>
        <v>-2.3322403230885413E-8</v>
      </c>
      <c r="M27" s="44">
        <f t="shared" si="7"/>
        <v>1.2661804225932993E-7</v>
      </c>
    </row>
    <row r="28" spans="2:13" x14ac:dyDescent="0.25">
      <c r="B28" s="34">
        <f t="shared" si="8"/>
        <v>0.98000000000000009</v>
      </c>
      <c r="C28" s="36">
        <v>100</v>
      </c>
      <c r="D28" s="36">
        <v>9</v>
      </c>
      <c r="E28" s="44">
        <v>4.2999999999999997E-2</v>
      </c>
      <c r="F28" s="45">
        <v>4.0361893663754631E-2</v>
      </c>
      <c r="G28" s="46">
        <v>2.8556795411021407E-2</v>
      </c>
      <c r="H28" s="46">
        <v>4.0361899999999999E-2</v>
      </c>
      <c r="I28" s="46">
        <v>2.8556700000000001E-2</v>
      </c>
      <c r="J28" s="78">
        <f t="shared" si="4"/>
        <v>0.99999984301419487</v>
      </c>
      <c r="K28" s="79">
        <f t="shared" si="5"/>
        <v>1.0000033411080904</v>
      </c>
      <c r="L28" s="44">
        <f t="shared" si="6"/>
        <v>-6.3362453686655051E-9</v>
      </c>
      <c r="M28" s="44">
        <f t="shared" si="7"/>
        <v>9.5411021406449636E-8</v>
      </c>
    </row>
    <row r="29" spans="2:13" x14ac:dyDescent="0.25">
      <c r="B29" s="34">
        <f t="shared" si="8"/>
        <v>0.9900000000000001</v>
      </c>
      <c r="C29" s="36">
        <v>100</v>
      </c>
      <c r="D29" s="36">
        <v>10</v>
      </c>
      <c r="E29" s="44">
        <v>4.2999999999999997E-2</v>
      </c>
      <c r="F29" s="45">
        <v>4.2352092363963763E-2</v>
      </c>
      <c r="G29" s="46">
        <v>1.1039547455857113E-2</v>
      </c>
      <c r="H29" s="46">
        <v>4.2352099999999997E-2</v>
      </c>
      <c r="I29" s="46">
        <v>1.10394E-2</v>
      </c>
      <c r="J29" s="78">
        <f t="shared" si="4"/>
        <v>0.99999981970111906</v>
      </c>
      <c r="K29" s="79">
        <f t="shared" si="5"/>
        <v>1.0000133572347332</v>
      </c>
      <c r="L29" s="44">
        <f t="shared" si="6"/>
        <v>-7.6360362338823151E-9</v>
      </c>
      <c r="M29" s="44">
        <f t="shared" si="7"/>
        <v>1.4745585711316289E-7</v>
      </c>
    </row>
    <row r="30" spans="2:13" x14ac:dyDescent="0.25">
      <c r="F30" s="45"/>
      <c r="G30" s="46"/>
      <c r="H30" s="47"/>
      <c r="I30" s="46"/>
      <c r="J30" s="80"/>
      <c r="K30" s="81"/>
      <c r="L30" s="34"/>
      <c r="M30" s="34"/>
    </row>
    <row r="31" spans="2:13" x14ac:dyDescent="0.25">
      <c r="B31" s="43">
        <v>0.9</v>
      </c>
      <c r="C31" s="36">
        <v>1000000</v>
      </c>
      <c r="D31" s="34">
        <v>100</v>
      </c>
      <c r="E31" s="38">
        <v>6.9999999999999994E-5</v>
      </c>
      <c r="F31" s="45">
        <v>8.7418142766221136E-5</v>
      </c>
      <c r="G31" s="46">
        <v>4.3017284469848427E-4</v>
      </c>
      <c r="H31" s="46">
        <v>8.742E-5</v>
      </c>
      <c r="I31" s="46">
        <v>2.1094700000000001E-4</v>
      </c>
      <c r="J31" s="78">
        <f t="shared" ref="J31:J40" si="9">F31/H31</f>
        <v>0.99997875504714184</v>
      </c>
      <c r="K31" s="79">
        <f t="shared" ref="K31:K40" si="10">G31/I31</f>
        <v>2.0392460888208142</v>
      </c>
      <c r="L31" s="44">
        <f>F31-H31</f>
        <v>-1.8572337788638543E-9</v>
      </c>
      <c r="M31" s="44">
        <f>G31-I31</f>
        <v>2.1922584469848426E-4</v>
      </c>
    </row>
    <row r="32" spans="2:13" x14ac:dyDescent="0.25">
      <c r="B32" s="34">
        <f>B31+0.01</f>
        <v>0.91</v>
      </c>
      <c r="C32" s="36">
        <v>1000000</v>
      </c>
      <c r="D32" s="34">
        <v>90</v>
      </c>
      <c r="E32" s="38">
        <v>7.1000000000000005E-5</v>
      </c>
      <c r="F32" s="45">
        <v>7.7567133389721955E-5</v>
      </c>
      <c r="G32" s="46">
        <v>1.6652841388390183E-2</v>
      </c>
      <c r="H32" s="46">
        <v>7.7568899999999995E-5</v>
      </c>
      <c r="I32" s="46">
        <v>1.40593E-2</v>
      </c>
      <c r="J32" s="78">
        <f t="shared" si="9"/>
        <v>0.99997722527613464</v>
      </c>
      <c r="K32" s="79">
        <f t="shared" si="10"/>
        <v>1.1844715873756291</v>
      </c>
      <c r="L32" s="44">
        <f>F32-H32</f>
        <v>-1.7666102780406097E-9</v>
      </c>
      <c r="M32" s="44">
        <f>G32-I32</f>
        <v>2.5935413883901824E-3</v>
      </c>
    </row>
    <row r="33" spans="2:13" x14ac:dyDescent="0.25">
      <c r="B33" s="34">
        <f t="shared" ref="B33:B40" si="11">B32+0.01</f>
        <v>0.92</v>
      </c>
      <c r="C33" s="36">
        <v>1000000</v>
      </c>
      <c r="D33" s="34">
        <v>80</v>
      </c>
      <c r="E33" s="38">
        <v>7.2000000000000002E-5</v>
      </c>
      <c r="F33" s="45">
        <v>6.7779557702721884E-5</v>
      </c>
      <c r="G33" s="46">
        <v>0.18712448820938121</v>
      </c>
      <c r="H33" s="46">
        <v>6.7781100000000001E-5</v>
      </c>
      <c r="I33" s="46">
        <v>0.18837000000000001</v>
      </c>
      <c r="J33" s="78">
        <f t="shared" si="9"/>
        <v>0.9999772459095807</v>
      </c>
      <c r="K33" s="79">
        <f t="shared" si="10"/>
        <v>0.99338795036036098</v>
      </c>
      <c r="L33" s="44">
        <f t="shared" ref="L33:L39" si="12">F33-H33</f>
        <v>-1.5422972781168297E-9</v>
      </c>
      <c r="M33" s="44">
        <f t="shared" ref="M33:M39" si="13">G33-I33</f>
        <v>-1.2455117906187974E-3</v>
      </c>
    </row>
    <row r="34" spans="2:13" x14ac:dyDescent="0.25">
      <c r="B34" s="34">
        <f t="shared" si="11"/>
        <v>0.93</v>
      </c>
      <c r="C34" s="36">
        <v>1000000</v>
      </c>
      <c r="D34" s="34">
        <v>70</v>
      </c>
      <c r="E34" s="38">
        <v>6.9999999999999994E-5</v>
      </c>
      <c r="F34" s="45">
        <v>5.806899329516487E-5</v>
      </c>
      <c r="G34" s="46">
        <v>0.51589712901540119</v>
      </c>
      <c r="H34" s="46">
        <v>5.8070199999999998E-5</v>
      </c>
      <c r="I34" s="46">
        <v>0.52383100000000005</v>
      </c>
      <c r="J34" s="78">
        <f t="shared" si="9"/>
        <v>0.99997921989531413</v>
      </c>
      <c r="K34" s="79">
        <f t="shared" si="10"/>
        <v>0.98485414000966176</v>
      </c>
      <c r="L34" s="44">
        <f t="shared" si="12"/>
        <v>-1.2067048351285911E-9</v>
      </c>
      <c r="M34" s="44">
        <f t="shared" si="13"/>
        <v>-7.9338709845988564E-3</v>
      </c>
    </row>
    <row r="35" spans="2:13" x14ac:dyDescent="0.25">
      <c r="B35" s="34">
        <f t="shared" si="11"/>
        <v>0.94000000000000006</v>
      </c>
      <c r="C35" s="36">
        <v>1000000</v>
      </c>
      <c r="D35" s="34">
        <v>60</v>
      </c>
      <c r="E35" s="38">
        <v>5.5000000000000002E-5</v>
      </c>
      <c r="F35" s="45">
        <v>4.8454619086623973E-5</v>
      </c>
      <c r="G35" s="46">
        <v>0.26729595775815351</v>
      </c>
      <c r="H35" s="46">
        <v>4.8455399999999997E-5</v>
      </c>
      <c r="I35" s="46">
        <v>0.27199200000000001</v>
      </c>
      <c r="J35" s="78">
        <f t="shared" si="9"/>
        <v>0.9999838838730869</v>
      </c>
      <c r="K35" s="79">
        <f t="shared" si="10"/>
        <v>0.98273463101177061</v>
      </c>
      <c r="L35" s="44">
        <f t="shared" si="12"/>
        <v>-7.8091337602393274E-10</v>
      </c>
      <c r="M35" s="44">
        <f t="shared" si="13"/>
        <v>-4.6960422418464987E-3</v>
      </c>
    </row>
    <row r="36" spans="2:13" x14ac:dyDescent="0.25">
      <c r="B36" s="34">
        <f t="shared" si="11"/>
        <v>0.95000000000000007</v>
      </c>
      <c r="C36" s="36">
        <v>1000000</v>
      </c>
      <c r="D36" s="34">
        <v>50</v>
      </c>
      <c r="E36" s="38">
        <v>4.3999999999999999E-5</v>
      </c>
      <c r="F36" s="45">
        <v>3.8964928096476585E-5</v>
      </c>
      <c r="G36" s="46">
        <v>0.20117587540063209</v>
      </c>
      <c r="H36" s="46">
        <v>3.8965099999999997E-5</v>
      </c>
      <c r="I36" s="46">
        <v>0.20350199999999999</v>
      </c>
      <c r="J36" s="78">
        <f t="shared" si="9"/>
        <v>0.99999558826941515</v>
      </c>
      <c r="K36" s="79">
        <f t="shared" si="10"/>
        <v>0.9885695246269427</v>
      </c>
      <c r="L36" s="44">
        <f t="shared" si="12"/>
        <v>-1.7190352341199446E-10</v>
      </c>
      <c r="M36" s="44">
        <f t="shared" si="13"/>
        <v>-2.3261245993679014E-3</v>
      </c>
    </row>
    <row r="37" spans="2:13" x14ac:dyDescent="0.25">
      <c r="B37" s="34">
        <f t="shared" si="11"/>
        <v>0.96000000000000008</v>
      </c>
      <c r="C37" s="36">
        <v>1000000</v>
      </c>
      <c r="D37" s="34">
        <v>40</v>
      </c>
      <c r="E37" s="38">
        <v>3.1999999999999999E-5</v>
      </c>
      <c r="F37" s="45">
        <v>2.9645258600358831E-5</v>
      </c>
      <c r="G37" s="46">
        <v>9.5599324708996125E-2</v>
      </c>
      <c r="H37" s="46">
        <v>2.9645399999999999E-5</v>
      </c>
      <c r="I37" s="46">
        <v>9.2444999999999999E-2</v>
      </c>
      <c r="J37" s="78">
        <f t="shared" si="9"/>
        <v>0.99999523030078297</v>
      </c>
      <c r="K37" s="79">
        <f t="shared" si="10"/>
        <v>1.0341210958839973</v>
      </c>
      <c r="L37" s="44">
        <f t="shared" si="12"/>
        <v>-1.413996411685171E-10</v>
      </c>
      <c r="M37" s="44">
        <f t="shared" si="13"/>
        <v>3.1543247089961257E-3</v>
      </c>
    </row>
    <row r="38" spans="2:13" x14ac:dyDescent="0.25">
      <c r="B38" s="34">
        <f t="shared" si="11"/>
        <v>0.97000000000000008</v>
      </c>
      <c r="C38" s="36">
        <v>1000000</v>
      </c>
      <c r="D38" s="34">
        <v>30</v>
      </c>
      <c r="E38" s="38">
        <v>2.0999999999999999E-5</v>
      </c>
      <c r="F38" s="45">
        <v>2.0575274622416925E-5</v>
      </c>
      <c r="G38" s="46">
        <v>3.7417205377203278E-2</v>
      </c>
      <c r="H38" s="46">
        <v>2.05754E-5</v>
      </c>
      <c r="I38" s="46">
        <v>3.7417199999999998E-2</v>
      </c>
      <c r="J38" s="78">
        <f t="shared" si="9"/>
        <v>0.9999939064327753</v>
      </c>
      <c r="K38" s="79">
        <f t="shared" si="10"/>
        <v>1.0000001437093977</v>
      </c>
      <c r="L38" s="44">
        <f t="shared" si="12"/>
        <v>-1.2537758307487623E-10</v>
      </c>
      <c r="M38" s="44">
        <f t="shared" si="13"/>
        <v>5.3772032798660163E-9</v>
      </c>
    </row>
    <row r="39" spans="2:13" x14ac:dyDescent="0.25">
      <c r="B39" s="34">
        <f t="shared" si="11"/>
        <v>0.98000000000000009</v>
      </c>
      <c r="C39" s="36">
        <v>1000000</v>
      </c>
      <c r="D39" s="34">
        <v>20</v>
      </c>
      <c r="E39" s="38">
        <v>1.2E-5</v>
      </c>
      <c r="F39" s="45">
        <v>1.1918829215439092E-5</v>
      </c>
      <c r="G39" s="46">
        <v>2.1279091642275594E-2</v>
      </c>
      <c r="H39" s="46">
        <v>1.19189E-5</v>
      </c>
      <c r="I39" s="46">
        <v>2.1279099999999999E-2</v>
      </c>
      <c r="J39" s="78">
        <f t="shared" si="9"/>
        <v>0.99999406114986211</v>
      </c>
      <c r="K39" s="79">
        <f t="shared" si="10"/>
        <v>0.9999996072331816</v>
      </c>
      <c r="L39" s="44">
        <f t="shared" si="12"/>
        <v>-7.0784560907876303E-11</v>
      </c>
      <c r="M39" s="44">
        <f t="shared" si="13"/>
        <v>-8.3577244049115595E-9</v>
      </c>
    </row>
    <row r="40" spans="2:13" ht="13.8" thickBot="1" x14ac:dyDescent="0.3">
      <c r="B40" s="34">
        <f t="shared" si="11"/>
        <v>0.9900000000000001</v>
      </c>
      <c r="C40" s="36">
        <v>1000000</v>
      </c>
      <c r="D40" s="34">
        <v>10</v>
      </c>
      <c r="E40" s="38">
        <v>3.9999999999999998E-6</v>
      </c>
      <c r="F40" s="45">
        <v>4.1302092229389103E-6</v>
      </c>
      <c r="G40" s="46">
        <v>8.1321104853521176E-3</v>
      </c>
      <c r="H40" s="46">
        <v>4.1302300000000003E-6</v>
      </c>
      <c r="I40" s="46">
        <v>8.1319500000000006E-3</v>
      </c>
      <c r="J40" s="82">
        <f t="shared" si="9"/>
        <v>0.99999496951475098</v>
      </c>
      <c r="K40" s="83">
        <f t="shared" si="10"/>
        <v>1.0000197351621833</v>
      </c>
      <c r="L40" s="44">
        <f>F40-H40</f>
        <v>-2.0777061090010364E-11</v>
      </c>
      <c r="M40" s="48">
        <f>G40-I40</f>
        <v>1.6048535211692083E-7</v>
      </c>
    </row>
    <row r="42" spans="2:13" x14ac:dyDescent="0.25">
      <c r="D42" s="49"/>
    </row>
    <row r="43" spans="2:13" x14ac:dyDescent="0.25">
      <c r="D43" s="49"/>
    </row>
    <row r="44" spans="2:13" x14ac:dyDescent="0.25">
      <c r="D44" s="49"/>
    </row>
    <row r="45" spans="2:13" x14ac:dyDescent="0.25">
      <c r="D45" s="49"/>
    </row>
    <row r="46" spans="2:13" x14ac:dyDescent="0.25">
      <c r="D46" s="49"/>
    </row>
    <row r="47" spans="2:13" x14ac:dyDescent="0.25">
      <c r="D47" s="49"/>
    </row>
    <row r="48" spans="2:13" x14ac:dyDescent="0.25">
      <c r="D48" s="49"/>
    </row>
    <row r="49" spans="4:4" x14ac:dyDescent="0.25">
      <c r="D49" s="49"/>
    </row>
    <row r="50" spans="4:4" x14ac:dyDescent="0.25">
      <c r="D50" s="49"/>
    </row>
    <row r="51" spans="4:4" x14ac:dyDescent="0.25">
      <c r="D51" s="49"/>
    </row>
  </sheetData>
  <sheetProtection algorithmName="SHA-512" hashValue="0wyV4NBok07gcd1EjeMxbV6LVRV8fKkUSYGsW7DlSo2Ff2I4TTZBopw2FHclZzQhH7zyOSPgcdVL+uJB3H3Wuw==" saltValue="I4wBIVQDsdnRH3GMd+9aZA==" spinCount="100000" sheet="1" objects="1" scenarios="1" selectLockedCells="1" selectUnlockedCells="1"/>
  <sortState ref="E3:E12">
    <sortCondition ref="E3"/>
  </sortState>
  <mergeCells count="2">
    <mergeCell ref="F1:G1"/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showGridLines="0" showRowColHeaders="0" topLeftCell="AN1444" zoomScaleNormal="100" workbookViewId="0">
      <selection activeCell="BJ1475" sqref="BJ1475"/>
    </sheetView>
  </sheetViews>
  <sheetFormatPr defaultRowHeight="13.2" x14ac:dyDescent="0.25"/>
  <cols>
    <col min="1" max="1" width="3.77734375" style="35" customWidth="1"/>
    <col min="2" max="2" width="12.5546875" style="34" customWidth="1"/>
    <col min="3" max="3" width="19.33203125" style="34" customWidth="1"/>
    <col min="4" max="4" width="21.5546875" style="34" customWidth="1"/>
    <col min="5" max="5" width="23.6640625" style="34" customWidth="1"/>
    <col min="6" max="6" width="19.77734375" style="34" customWidth="1"/>
    <col min="7" max="7" width="16.88671875" style="34" customWidth="1"/>
    <col min="8" max="8" width="18.77734375" style="34" customWidth="1"/>
    <col min="9" max="9" width="16.77734375" style="34" customWidth="1"/>
    <col min="10" max="10" width="17.33203125" style="35" customWidth="1"/>
    <col min="11" max="11" width="13.109375" style="35" customWidth="1"/>
    <col min="12" max="12" width="10.5546875" style="35" bestFit="1" customWidth="1"/>
    <col min="13" max="16384" width="8.88671875" style="35"/>
  </cols>
  <sheetData>
    <row r="1" spans="2:11" ht="13.8" thickBot="1" x14ac:dyDescent="0.3"/>
    <row r="2" spans="2:11" ht="13.8" thickTop="1" x14ac:dyDescent="0.25">
      <c r="B2" s="114" t="s">
        <v>27</v>
      </c>
      <c r="C2" s="115"/>
      <c r="D2" s="115"/>
      <c r="E2" s="115"/>
      <c r="F2" s="112" t="s">
        <v>11</v>
      </c>
      <c r="G2" s="116"/>
      <c r="H2" s="115" t="s">
        <v>22</v>
      </c>
      <c r="I2" s="116"/>
      <c r="J2" s="112" t="s">
        <v>26</v>
      </c>
      <c r="K2" s="113"/>
    </row>
    <row r="3" spans="2:11" x14ac:dyDescent="0.25">
      <c r="B3" s="55" t="s">
        <v>5</v>
      </c>
      <c r="C3" s="56" t="s">
        <v>6</v>
      </c>
      <c r="D3" s="56" t="s">
        <v>7</v>
      </c>
      <c r="E3" s="56" t="s">
        <v>8</v>
      </c>
      <c r="F3" s="57" t="s">
        <v>9</v>
      </c>
      <c r="G3" s="58" t="s">
        <v>10</v>
      </c>
      <c r="H3" s="56" t="s">
        <v>9</v>
      </c>
      <c r="I3" s="58" t="s">
        <v>10</v>
      </c>
      <c r="J3" s="56" t="s">
        <v>9</v>
      </c>
      <c r="K3" s="59" t="s">
        <v>10</v>
      </c>
    </row>
    <row r="4" spans="2:11" x14ac:dyDescent="0.25">
      <c r="B4" s="60">
        <v>0.5</v>
      </c>
      <c r="C4" s="61">
        <v>1000</v>
      </c>
      <c r="D4" s="61">
        <v>10</v>
      </c>
      <c r="E4" s="62">
        <v>0.01</v>
      </c>
      <c r="F4" s="63">
        <v>9.6654825058189297E-3</v>
      </c>
      <c r="G4" s="64">
        <v>0.54269940782510884</v>
      </c>
      <c r="H4" s="65">
        <v>9.6654824999999993E-3</v>
      </c>
      <c r="I4" s="64">
        <v>0.54269940780000003</v>
      </c>
      <c r="J4" s="66">
        <f t="shared" ref="J4:K4" si="0">F4/H4</f>
        <v>1.000000000602032</v>
      </c>
      <c r="K4" s="67">
        <f t="shared" si="0"/>
        <v>1.0000000000462665</v>
      </c>
    </row>
    <row r="5" spans="2:11" x14ac:dyDescent="0.25">
      <c r="B5" s="60">
        <v>0.6</v>
      </c>
      <c r="C5" s="61">
        <v>1000</v>
      </c>
      <c r="D5" s="61">
        <v>100</v>
      </c>
      <c r="E5" s="62">
        <v>0.09</v>
      </c>
      <c r="F5" s="63">
        <v>9.725230270867323E-2</v>
      </c>
      <c r="G5" s="64">
        <v>0.14717649377842845</v>
      </c>
      <c r="H5" s="65">
        <v>9.7252302700000001E-2</v>
      </c>
      <c r="I5" s="64">
        <v>0.14717649369999999</v>
      </c>
      <c r="J5" s="66">
        <f>F5/H5</f>
        <v>1.0000000000891827</v>
      </c>
      <c r="K5" s="67">
        <f>G5/I5</f>
        <v>1.0000000005328871</v>
      </c>
    </row>
    <row r="6" spans="2:11" x14ac:dyDescent="0.25">
      <c r="B6" s="60">
        <v>0.7</v>
      </c>
      <c r="C6" s="61">
        <v>10000</v>
      </c>
      <c r="D6" s="61">
        <v>100</v>
      </c>
      <c r="E6" s="62">
        <v>0.01</v>
      </c>
      <c r="F6" s="63">
        <v>9.4545516109518866E-3</v>
      </c>
      <c r="G6" s="64">
        <v>0.51349927171676346</v>
      </c>
      <c r="H6" s="65">
        <v>9.4545515999999996E-3</v>
      </c>
      <c r="I6" s="64">
        <v>0.51349927169999998</v>
      </c>
      <c r="J6" s="66">
        <f t="shared" ref="J6:K13" si="1">F6/H6</f>
        <v>1.0000000011583718</v>
      </c>
      <c r="K6" s="67">
        <f t="shared" si="1"/>
        <v>1.0000000000326457</v>
      </c>
    </row>
    <row r="7" spans="2:11" x14ac:dyDescent="0.25">
      <c r="B7" s="60">
        <v>0.8</v>
      </c>
      <c r="C7" s="61">
        <v>10000</v>
      </c>
      <c r="D7" s="61">
        <v>1000</v>
      </c>
      <c r="E7" s="62">
        <v>9.5000000000000001E-2</v>
      </c>
      <c r="F7" s="63">
        <v>9.7457895414938558E-2</v>
      </c>
      <c r="G7" s="64">
        <v>4.6488138933487022E-2</v>
      </c>
      <c r="H7" s="65">
        <v>9.7457895399999994E-2</v>
      </c>
      <c r="I7" s="64">
        <v>4.6488138900000003E-2</v>
      </c>
      <c r="J7" s="66">
        <f t="shared" si="1"/>
        <v>1.0000000001532823</v>
      </c>
      <c r="K7" s="67">
        <f t="shared" si="1"/>
        <v>1.0000000007203347</v>
      </c>
    </row>
    <row r="8" spans="2:11" x14ac:dyDescent="0.25">
      <c r="B8" s="60">
        <v>0.9</v>
      </c>
      <c r="C8" s="61">
        <v>100000</v>
      </c>
      <c r="D8" s="61">
        <v>1000</v>
      </c>
      <c r="E8" s="62">
        <v>0.01</v>
      </c>
      <c r="F8" s="63">
        <v>9.5988304798985645E-3</v>
      </c>
      <c r="G8" s="64">
        <v>0.50426868797204549</v>
      </c>
      <c r="H8" s="65">
        <v>9.5988305000000006E-3</v>
      </c>
      <c r="I8" s="64">
        <v>0.50426868800000002</v>
      </c>
      <c r="J8" s="66">
        <f t="shared" si="1"/>
        <v>0.99999999790584526</v>
      </c>
      <c r="K8" s="67">
        <f t="shared" si="1"/>
        <v>0.99999999994456423</v>
      </c>
    </row>
    <row r="9" spans="2:11" x14ac:dyDescent="0.25">
      <c r="B9" s="60">
        <v>0.95</v>
      </c>
      <c r="C9" s="61">
        <v>100000</v>
      </c>
      <c r="D9" s="61">
        <v>10000</v>
      </c>
      <c r="E9" s="62">
        <v>9.9000000000000005E-2</v>
      </c>
      <c r="F9" s="63">
        <v>9.8443137562854E-2</v>
      </c>
      <c r="G9" s="64">
        <v>0.14608594800894459</v>
      </c>
      <c r="H9" s="65">
        <v>9.8443137599999994E-2</v>
      </c>
      <c r="I9" s="64">
        <v>0.14608594799999999</v>
      </c>
      <c r="J9" s="66">
        <f t="shared" si="1"/>
        <v>0.9999999996226655</v>
      </c>
      <c r="K9" s="67">
        <f t="shared" si="1"/>
        <v>1.0000000000612284</v>
      </c>
    </row>
    <row r="10" spans="2:11" x14ac:dyDescent="0.25">
      <c r="B10" s="60">
        <v>0.97499999999999998</v>
      </c>
      <c r="C10" s="61">
        <v>100000</v>
      </c>
      <c r="D10" s="61">
        <v>10</v>
      </c>
      <c r="E10" s="62">
        <v>5.0000000000000002E-5</v>
      </c>
      <c r="F10" s="63">
        <v>4.7954895139011432E-5</v>
      </c>
      <c r="G10" s="64">
        <v>3.1824430731844711E-2</v>
      </c>
      <c r="H10" s="65">
        <v>4.7954899999999997E-5</v>
      </c>
      <c r="I10" s="64">
        <v>3.1824430700000003E-2</v>
      </c>
      <c r="J10" s="66">
        <f t="shared" si="1"/>
        <v>0.99999989863416328</v>
      </c>
      <c r="K10" s="67">
        <f t="shared" si="1"/>
        <v>1.0000000010006371</v>
      </c>
    </row>
    <row r="11" spans="2:11" x14ac:dyDescent="0.25">
      <c r="B11" s="60">
        <v>0.99</v>
      </c>
      <c r="C11" s="61">
        <v>1000000</v>
      </c>
      <c r="D11" s="61">
        <v>10</v>
      </c>
      <c r="E11" s="62">
        <v>1.0000000000000001E-5</v>
      </c>
      <c r="F11" s="63">
        <v>4.130209222938923E-6</v>
      </c>
      <c r="G11" s="64">
        <v>0.54207091108187155</v>
      </c>
      <c r="H11" s="65">
        <v>4.1301999999999999E-6</v>
      </c>
      <c r="I11" s="64">
        <v>0.54207091110000005</v>
      </c>
      <c r="J11" s="66">
        <f t="shared" si="1"/>
        <v>1.0000022330489862</v>
      </c>
      <c r="K11" s="67">
        <f t="shared" si="1"/>
        <v>0.99999999996655697</v>
      </c>
    </row>
    <row r="12" spans="2:11" x14ac:dyDescent="0.25">
      <c r="B12" s="60">
        <v>0.999</v>
      </c>
      <c r="C12" s="61">
        <v>1000000</v>
      </c>
      <c r="D12" s="61">
        <v>100</v>
      </c>
      <c r="E12" s="62">
        <v>9.0000000000000006E-5</v>
      </c>
      <c r="F12" s="63">
        <v>7.1922371293953462E-5</v>
      </c>
      <c r="G12" s="64">
        <v>0.15821049429199296</v>
      </c>
      <c r="H12" s="65">
        <v>7.1922399999999994E-5</v>
      </c>
      <c r="I12" s="64">
        <v>0.1582104943</v>
      </c>
      <c r="J12" s="66">
        <f t="shared" si="1"/>
        <v>0.99999960087474093</v>
      </c>
      <c r="K12" s="67">
        <f t="shared" si="1"/>
        <v>0.99999999994938993</v>
      </c>
    </row>
    <row r="13" spans="2:11" ht="13.8" thickBot="1" x14ac:dyDescent="0.3">
      <c r="B13" s="68">
        <v>0.99990000000000001</v>
      </c>
      <c r="C13" s="69">
        <v>1000000</v>
      </c>
      <c r="D13" s="69">
        <v>1000</v>
      </c>
      <c r="E13" s="70">
        <v>8.9999999999999998E-4</v>
      </c>
      <c r="F13" s="71">
        <v>8.8669808403793492E-4</v>
      </c>
      <c r="G13" s="72">
        <v>5.4697360076483292E-4</v>
      </c>
      <c r="H13" s="73">
        <v>8.8669810000000003E-4</v>
      </c>
      <c r="I13" s="72">
        <v>5.4697359999999996E-4</v>
      </c>
      <c r="J13" s="74">
        <f t="shared" si="1"/>
        <v>0.99999998199830908</v>
      </c>
      <c r="K13" s="75">
        <f t="shared" si="1"/>
        <v>1.0000000013982997</v>
      </c>
    </row>
    <row r="14" spans="2:11" ht="13.8" thickTop="1" x14ac:dyDescent="0.25">
      <c r="H14" s="40"/>
    </row>
    <row r="15" spans="2:11" x14ac:dyDescent="0.25">
      <c r="H15" s="40"/>
    </row>
    <row r="16" spans="2:11" x14ac:dyDescent="0.25">
      <c r="B16" s="41">
        <v>0.5</v>
      </c>
      <c r="C16" s="41">
        <v>1000</v>
      </c>
      <c r="D16" s="41">
        <v>10</v>
      </c>
      <c r="E16" s="41">
        <v>0.01</v>
      </c>
      <c r="H16" s="40"/>
    </row>
    <row r="18" spans="2:13" x14ac:dyDescent="0.25">
      <c r="F18" s="42">
        <f>'Complaint Rate Analysis'!E12</f>
        <v>5.8691556546379563E-5</v>
      </c>
      <c r="G18" s="42">
        <f>'Complaint Rate Analysis'!E15</f>
        <v>3.995269360772491E-2</v>
      </c>
      <c r="H18" s="46">
        <f>E26</f>
        <v>7.1922399999999994E-5</v>
      </c>
      <c r="I18" s="46">
        <f>B32</f>
        <v>0.1582104943</v>
      </c>
    </row>
    <row r="22" spans="2:13" x14ac:dyDescent="0.25">
      <c r="D22" s="49"/>
    </row>
    <row r="23" spans="2:13" ht="15" x14ac:dyDescent="0.25">
      <c r="B23" s="50" t="s">
        <v>18</v>
      </c>
      <c r="C23" s="35"/>
      <c r="D23" s="35"/>
      <c r="E23" s="35"/>
      <c r="F23" s="35"/>
    </row>
    <row r="24" spans="2:13" x14ac:dyDescent="0.25">
      <c r="B24" s="117" t="s">
        <v>19</v>
      </c>
      <c r="C24" s="117" t="s">
        <v>20</v>
      </c>
      <c r="D24" s="117" t="s">
        <v>21</v>
      </c>
      <c r="E24" s="51" t="s">
        <v>23</v>
      </c>
      <c r="F24" s="52"/>
    </row>
    <row r="25" spans="2:13" ht="13.8" thickBot="1" x14ac:dyDescent="0.3">
      <c r="B25" s="118"/>
      <c r="C25" s="118"/>
      <c r="D25" s="118"/>
      <c r="E25" s="53" t="s">
        <v>13</v>
      </c>
      <c r="F25" s="52"/>
    </row>
    <row r="26" spans="2:13" x14ac:dyDescent="0.25">
      <c r="B26" s="54">
        <v>1000000</v>
      </c>
      <c r="C26" s="54">
        <v>100</v>
      </c>
      <c r="D26" s="54">
        <v>1E-4</v>
      </c>
      <c r="E26" s="54">
        <v>7.1922399999999994E-5</v>
      </c>
      <c r="F26" s="35"/>
    </row>
    <row r="27" spans="2:13" x14ac:dyDescent="0.25">
      <c r="D27" s="49"/>
      <c r="E27" s="54"/>
      <c r="F27" s="35"/>
    </row>
    <row r="28" spans="2:13" ht="15" x14ac:dyDescent="0.25">
      <c r="B28" s="50" t="s">
        <v>14</v>
      </c>
      <c r="C28" s="35"/>
      <c r="D28" s="49"/>
    </row>
    <row r="29" spans="2:13" s="34" customFormat="1" x14ac:dyDescent="0.25">
      <c r="B29" s="52" t="s">
        <v>15</v>
      </c>
      <c r="C29" s="52" t="s">
        <v>24</v>
      </c>
      <c r="D29" s="49"/>
      <c r="J29" s="35"/>
      <c r="K29" s="35"/>
      <c r="L29" s="35"/>
      <c r="M29" s="35"/>
    </row>
    <row r="30" spans="2:13" s="34" customFormat="1" x14ac:dyDescent="0.25">
      <c r="B30" s="52" t="s">
        <v>16</v>
      </c>
      <c r="C30" s="52" t="s">
        <v>25</v>
      </c>
      <c r="D30" s="49"/>
      <c r="J30" s="35"/>
      <c r="K30" s="35"/>
      <c r="L30" s="35"/>
      <c r="M30" s="35"/>
    </row>
    <row r="31" spans="2:13" s="34" customFormat="1" ht="13.8" thickBot="1" x14ac:dyDescent="0.3">
      <c r="B31" s="53" t="s">
        <v>17</v>
      </c>
      <c r="C31" s="35"/>
      <c r="D31" s="49"/>
      <c r="J31" s="35"/>
      <c r="K31" s="35"/>
      <c r="L31" s="35"/>
      <c r="M31" s="35"/>
    </row>
    <row r="32" spans="2:13" x14ac:dyDescent="0.25">
      <c r="B32" s="54">
        <v>0.1582104943</v>
      </c>
      <c r="C32" s="35"/>
    </row>
  </sheetData>
  <sheetProtection algorithmName="SHA-512" hashValue="fgo/kTOlNEH1xjmuirxT5GWQh5cDJf1rqrP0X06+rEnmMXfJN2rj2DqnZDg0M684tEozl5oEWMRUJAaYYQ7tlA==" saltValue="K2oDhzHKphGHCkXKjg0nIw==" spinCount="100000" sheet="1" objects="1" scenarios="1" selectLockedCells="1" selectUnlockedCells="1"/>
  <mergeCells count="7">
    <mergeCell ref="J2:K2"/>
    <mergeCell ref="B2:E2"/>
    <mergeCell ref="F2:G2"/>
    <mergeCell ref="H2:I2"/>
    <mergeCell ref="B24:B25"/>
    <mergeCell ref="C24:C25"/>
    <mergeCell ref="D24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Complaint Rate Analysis</vt:lpstr>
      <vt:lpstr>StatGraph</vt:lpstr>
      <vt:lpstr>Minitab18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</dc:creator>
  <cp:lastModifiedBy>JZ</cp:lastModifiedBy>
  <dcterms:created xsi:type="dcterms:W3CDTF">2009-09-08T11:14:52Z</dcterms:created>
  <dcterms:modified xsi:type="dcterms:W3CDTF">2018-05-31T19:36:54Z</dcterms:modified>
</cp:coreProperties>
</file>